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ejpd.intra.admin.ch\Userhome$\BFM-01\U80824718\config\Desktop\Neuer Ordner\"/>
    </mc:Choice>
  </mc:AlternateContent>
  <xr:revisionPtr revIDLastSave="0" documentId="13_ncr:1_{05656E12-8281-41DF-835E-FF54AA742331}" xr6:coauthVersionLast="47" xr6:coauthVersionMax="47" xr10:uidLastSave="{00000000-0000-0000-0000-000000000000}"/>
  <workbookProtection workbookAlgorithmName="SHA-512" workbookHashValue="R4YHyaJdDmdNKBKT1sBBUWAuEcV/VIDqJdzmEB3IfP6iRWDQ8bu26pQPyFKPZCNLDTSGCBdXKMZqk4PYILRGWQ==" workbookSaltValue="R7BxvZKItkTm41sYswBu6Q==" workbookSpinCount="100000" lockStructure="1"/>
  <bookViews>
    <workbookView xWindow="28680" yWindow="-120" windowWidth="29040" windowHeight="15720" firstSheet="1" activeTab="1" xr2:uid="{00000000-000D-0000-FFFF-FFFF00000000}"/>
  </bookViews>
  <sheets>
    <sheet name="Dropdownlisten" sheetId="1" state="veryHidden" r:id="rId1"/>
    <sheet name="Table des matières" sheetId="3" r:id="rId2"/>
    <sheet name="Indicateurs PIC" sheetId="4" r:id="rId3"/>
    <sheet name="Sommaire Indicateurs AIS" sheetId="5" r:id="rId4"/>
    <sheet name="Ind AIS N°1" sheetId="6" r:id="rId5"/>
    <sheet name="Ind AIS N°2" sheetId="7" r:id="rId6"/>
    <sheet name="Ind AIS N°3" sheetId="8" r:id="rId7"/>
    <sheet name="Ind AIS N°4" sheetId="9" r:id="rId8"/>
    <sheet name="Ind AIS N°5" sheetId="10" r:id="rId9"/>
    <sheet name="Ind AIS N°6" sheetId="11" r:id="rId10"/>
    <sheet name="Ind AIS N°7" sheetId="12" r:id="rId11"/>
    <sheet name="Ind AIS N°8" sheetId="13" r:id="rId12"/>
    <sheet name="Ind AIS N°9" sheetId="14" r:id="rId13"/>
    <sheet name="Ind AIS N°11a" sheetId="16" r:id="rId14"/>
    <sheet name="Ind AIS N°11b" sheetId="17" r:id="rId15"/>
    <sheet name="Ind AIS N°14" sheetId="18" r:id="rId16"/>
    <sheet name="Univers AIS décisions 1.5.19" sheetId="19" state="veryHidden" r:id="rId17"/>
    <sheet name="Univers AIS Effectif" sheetId="20" state="veryHidden" r:id="rId18"/>
  </sheets>
  <definedNames>
    <definedName name="bestand_alle">'Univers AIS Effectif'!$A$5:$AF$34</definedName>
    <definedName name="bestand_ias">'Univers AIS décisions 1.5.19'!$A$5:$AK$34</definedName>
    <definedName name="Print_Area" localSheetId="4">'Ind AIS N°1'!$A$1:$L$17</definedName>
    <definedName name="Print_Area" localSheetId="13">'Ind AIS N°11a'!$A$1:$N$18</definedName>
    <definedName name="Print_Area" localSheetId="14">'Ind AIS N°11b'!$A$1:$N$18</definedName>
    <definedName name="Print_Area" localSheetId="5">'Ind AIS N°2'!$A$1:$L$22</definedName>
    <definedName name="Print_Area" localSheetId="6">'Ind AIS N°3'!$A$1:$M$19</definedName>
    <definedName name="Print_Area" localSheetId="7">'Ind AIS N°4'!$A$1:$M$17</definedName>
    <definedName name="Print_Area" localSheetId="8">'Ind AIS N°5'!$A$1:$M$19</definedName>
    <definedName name="Print_Area" localSheetId="9">'Ind AIS N°6'!$A$1:$L$17</definedName>
    <definedName name="Print_Area" localSheetId="10">'Ind AIS N°7'!$A$1:$N$18</definedName>
    <definedName name="Print_Area" localSheetId="11">'Ind AIS N°8'!$A$1:$P$19</definedName>
    <definedName name="Print_Area" localSheetId="12">'Ind AIS N°9'!$A$1:$N$19</definedName>
    <definedName name="Print_Area" localSheetId="2">'Indicateurs PIC'!$A$1:$L$14</definedName>
    <definedName name="Print_Area" localSheetId="3">'Sommaire Indicateurs AIS'!$A$1:$P$35</definedName>
    <definedName name="Print_Area" localSheetId="1">'Table des matières'!$A$1:$H$32</definedName>
    <definedName name="Print_Area" localSheetId="16">'Univers AIS décisions 1.5.19'!$A$1:$AK$34</definedName>
    <definedName name="Print_Area" localSheetId="17">'Univers AIS Effectif'!$A$1:$AF$34</definedName>
    <definedName name="Z_168849A9_FED9_4458_942F_290616B3A25C_.wvu.PrintArea" localSheetId="4" hidden="1">'Ind AIS N°1'!$A$1:$L$17</definedName>
    <definedName name="Z_168849A9_FED9_4458_942F_290616B3A25C_.wvu.PrintArea" localSheetId="13" hidden="1">'Ind AIS N°11a'!$A$1:$N$18</definedName>
    <definedName name="Z_168849A9_FED9_4458_942F_290616B3A25C_.wvu.PrintArea" localSheetId="14" hidden="1">'Ind AIS N°11b'!$A$1:$N$18</definedName>
    <definedName name="Z_168849A9_FED9_4458_942F_290616B3A25C_.wvu.PrintArea" localSheetId="5" hidden="1">'Ind AIS N°2'!$A$1:$L$22</definedName>
    <definedName name="Z_168849A9_FED9_4458_942F_290616B3A25C_.wvu.PrintArea" localSheetId="6" hidden="1">'Ind AIS N°3'!$A$1:$M$19</definedName>
    <definedName name="Z_168849A9_FED9_4458_942F_290616B3A25C_.wvu.PrintArea" localSheetId="7" hidden="1">'Ind AIS N°4'!$A$1:$M$17</definedName>
    <definedName name="Z_168849A9_FED9_4458_942F_290616B3A25C_.wvu.PrintArea" localSheetId="8" hidden="1">'Ind AIS N°5'!$A$1:$M$19</definedName>
    <definedName name="Z_168849A9_FED9_4458_942F_290616B3A25C_.wvu.PrintArea" localSheetId="9" hidden="1">'Ind AIS N°6'!$A$1:$L$17</definedName>
    <definedName name="Z_168849A9_FED9_4458_942F_290616B3A25C_.wvu.PrintArea" localSheetId="10" hidden="1">'Ind AIS N°7'!$A$1:$N$18</definedName>
    <definedName name="Z_168849A9_FED9_4458_942F_290616B3A25C_.wvu.PrintArea" localSheetId="11" hidden="1">'Ind AIS N°8'!$A$1:$P$19</definedName>
    <definedName name="Z_168849A9_FED9_4458_942F_290616B3A25C_.wvu.PrintArea" localSheetId="12" hidden="1">'Ind AIS N°9'!$A$1:$N$19</definedName>
    <definedName name="Z_168849A9_FED9_4458_942F_290616B3A25C_.wvu.PrintArea" localSheetId="2" hidden="1">'Indicateurs PIC'!$A$1:$L$14</definedName>
    <definedName name="Z_168849A9_FED9_4458_942F_290616B3A25C_.wvu.PrintArea" localSheetId="3" hidden="1">'Sommaire Indicateurs AIS'!$A$1:$P$35</definedName>
    <definedName name="Z_168849A9_FED9_4458_942F_290616B3A25C_.wvu.PrintArea" localSheetId="1" hidden="1">'Table des matières'!$A$1:$H$32</definedName>
    <definedName name="Z_168849A9_FED9_4458_942F_290616B3A25C_.wvu.PrintArea" localSheetId="16" hidden="1">'Univers AIS décisions 1.5.19'!$A$1:$AK$34</definedName>
    <definedName name="Z_168849A9_FED9_4458_942F_290616B3A25C_.wvu.PrintArea" localSheetId="17" hidden="1">'Univers AIS Effectif'!$A$1:$AF$34</definedName>
    <definedName name="Z_168849A9_FED9_4458_942F_290616B3A25C_.wvu.Rows" localSheetId="16" hidden="1">'Univers AIS décisions 1.5.19'!$36:$36</definedName>
    <definedName name="Z_168849A9_FED9_4458_942F_290616B3A25C_.wvu.Rows" localSheetId="17" hidden="1">'Univers AIS Effectif'!$36:$36</definedName>
  </definedNames>
  <calcPr calcId="191029"/>
  <customWorkbookViews>
    <customWorkbookView name="Corina Bürgi - Persönliche Ansicht" guid="{168849A9-FED9-4458-942F-290616B3A25C}" mergeInterval="0" personalView="1" maximized="1" xWindow="2869" yWindow="-9" windowWidth="2902" windowHeight="1582" activeSheetId="1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6" l="1"/>
  <c r="C8" i="12"/>
  <c r="H12" i="7"/>
  <c r="D8" i="7"/>
  <c r="O27" i="5" l="1" a="1"/>
  <c r="O27" i="5" s="1"/>
  <c r="O24" i="5" a="1"/>
  <c r="O24" i="5" s="1"/>
  <c r="C8" i="9" l="1"/>
  <c r="E12" i="7"/>
  <c r="C8" i="18" l="1"/>
  <c r="C8" i="17" l="1"/>
  <c r="C8" i="14"/>
  <c r="C8" i="13"/>
  <c r="C8" i="11"/>
  <c r="D9" i="10"/>
  <c r="D8" i="10"/>
  <c r="D8" i="8"/>
  <c r="D9" i="8"/>
  <c r="C8" i="6"/>
  <c r="D10" i="7" l="1"/>
  <c r="D11" i="7"/>
  <c r="D9" i="7"/>
  <c r="E10" i="8" l="1"/>
  <c r="J34" i="5" l="1"/>
  <c r="J31" i="5"/>
  <c r="J30" i="5"/>
  <c r="J27" i="5"/>
  <c r="J23" i="5"/>
  <c r="J20" i="5"/>
  <c r="J17" i="5"/>
  <c r="J16" i="5"/>
  <c r="J15" i="5"/>
  <c r="J14" i="5"/>
  <c r="J13" i="5"/>
  <c r="J12" i="5"/>
  <c r="J11" i="5"/>
  <c r="J10" i="5"/>
  <c r="J9" i="5"/>
  <c r="J8" i="5"/>
  <c r="F10" i="10" l="1"/>
  <c r="F10" i="8"/>
  <c r="F12" i="7"/>
  <c r="D12" i="7" s="1"/>
  <c r="F36" i="19" l="1"/>
  <c r="C36" i="19"/>
  <c r="AE36" i="20" l="1"/>
  <c r="AB36" i="20"/>
  <c r="Z36" i="20"/>
  <c r="W36" i="20"/>
  <c r="U36" i="20"/>
  <c r="R36" i="20"/>
  <c r="M36" i="20"/>
  <c r="K36" i="20"/>
  <c r="H36" i="20"/>
  <c r="F36" i="20"/>
  <c r="C36" i="20"/>
  <c r="AJ36" i="19"/>
  <c r="AG36" i="19"/>
  <c r="AE36" i="19"/>
  <c r="AB36" i="19"/>
  <c r="Z36" i="19"/>
  <c r="W36" i="19"/>
  <c r="U36" i="19"/>
  <c r="R36" i="19"/>
  <c r="P36" i="19"/>
  <c r="M36" i="19"/>
  <c r="H36" i="19"/>
  <c r="K36" i="19"/>
  <c r="O34" i="5" l="1"/>
  <c r="N34" i="5"/>
  <c r="O31" i="5"/>
  <c r="N31" i="5"/>
  <c r="O30" i="5"/>
  <c r="N30" i="5"/>
  <c r="O23" i="5"/>
  <c r="N23" i="5"/>
  <c r="P36" i="20" l="1"/>
  <c r="M34" i="5" l="1"/>
  <c r="L34" i="5"/>
  <c r="K34" i="5"/>
  <c r="I34" i="5"/>
  <c r="H34" i="5"/>
  <c r="M31" i="5"/>
  <c r="L31" i="5"/>
  <c r="K31" i="5"/>
  <c r="I31" i="5"/>
  <c r="H31" i="5"/>
  <c r="M30" i="5"/>
  <c r="L30" i="5"/>
  <c r="K30" i="5"/>
  <c r="I30" i="5"/>
  <c r="H30" i="5"/>
  <c r="G30" i="5" s="1"/>
  <c r="M27" i="5"/>
  <c r="L27" i="5"/>
  <c r="K27" i="5"/>
  <c r="I27" i="5"/>
  <c r="H27" i="5"/>
  <c r="G27" i="5" s="1"/>
  <c r="G34" i="5" l="1"/>
  <c r="G31" i="5"/>
  <c r="M24" i="5"/>
  <c r="L24" i="5"/>
  <c r="K24" i="5"/>
  <c r="I24" i="5"/>
  <c r="H24" i="5"/>
  <c r="M23" i="5"/>
  <c r="L23" i="5"/>
  <c r="K23" i="5"/>
  <c r="I23" i="5"/>
  <c r="H23" i="5"/>
  <c r="G23" i="5" s="1"/>
  <c r="M20" i="5"/>
  <c r="L20" i="5"/>
  <c r="K20" i="5"/>
  <c r="I20" i="5"/>
  <c r="H20" i="5"/>
  <c r="M17" i="5"/>
  <c r="L17" i="5"/>
  <c r="K17" i="5"/>
  <c r="I17" i="5"/>
  <c r="H17" i="5"/>
  <c r="M16" i="5"/>
  <c r="L16" i="5"/>
  <c r="K16" i="5"/>
  <c r="I16" i="5"/>
  <c r="H16" i="5"/>
  <c r="M15" i="5"/>
  <c r="L15" i="5"/>
  <c r="K15" i="5"/>
  <c r="I15" i="5"/>
  <c r="H15" i="5"/>
  <c r="G15" i="5" s="1"/>
  <c r="M14" i="5"/>
  <c r="L14" i="5"/>
  <c r="K14" i="5"/>
  <c r="I14" i="5"/>
  <c r="H14" i="5"/>
  <c r="G14" i="5" s="1"/>
  <c r="M13" i="5"/>
  <c r="L13" i="5"/>
  <c r="K13" i="5"/>
  <c r="I13" i="5"/>
  <c r="H13" i="5"/>
  <c r="M12" i="5"/>
  <c r="L12" i="5"/>
  <c r="K12" i="5"/>
  <c r="I12" i="5"/>
  <c r="M11" i="5"/>
  <c r="L11" i="5"/>
  <c r="K11" i="5"/>
  <c r="I11" i="5"/>
  <c r="M10" i="5"/>
  <c r="L10" i="5"/>
  <c r="K10" i="5"/>
  <c r="I10" i="5"/>
  <c r="H12" i="5"/>
  <c r="G12" i="5" s="1"/>
  <c r="H11" i="5"/>
  <c r="H10" i="5"/>
  <c r="G10" i="5" s="1"/>
  <c r="M9" i="5"/>
  <c r="L9" i="5"/>
  <c r="K9" i="5"/>
  <c r="I9" i="5"/>
  <c r="H9" i="5"/>
  <c r="G9" i="5" s="1"/>
  <c r="I8" i="5"/>
  <c r="K8" i="5"/>
  <c r="L8" i="5"/>
  <c r="M8" i="5"/>
  <c r="H8" i="5"/>
  <c r="G8" i="5" l="1"/>
  <c r="G13" i="5"/>
  <c r="G24" i="5"/>
  <c r="G20" i="5"/>
  <c r="G17" i="5"/>
  <c r="G16" i="5"/>
  <c r="G11" i="5"/>
  <c r="C3" i="18"/>
  <c r="C3" i="17"/>
  <c r="C3" i="16"/>
  <c r="C3" i="14"/>
  <c r="C3" i="13"/>
  <c r="C3" i="12"/>
  <c r="D10" i="12" s="1"/>
  <c r="C3" i="11"/>
  <c r="C3" i="10"/>
  <c r="C3" i="9"/>
  <c r="C3" i="8"/>
  <c r="C3" i="7"/>
  <c r="C3" i="6"/>
  <c r="F2" i="4"/>
  <c r="E2" i="5" s="1"/>
  <c r="E10" i="17" l="1"/>
  <c r="F10" i="17"/>
  <c r="D10" i="17"/>
  <c r="I9" i="17"/>
  <c r="F9" i="17"/>
  <c r="E9" i="17"/>
  <c r="H10" i="17"/>
  <c r="D9" i="17"/>
  <c r="C9" i="17" s="1"/>
  <c r="H9" i="17"/>
  <c r="I10" i="17"/>
  <c r="I10" i="16"/>
  <c r="E9" i="16"/>
  <c r="H10" i="16"/>
  <c r="D9" i="16"/>
  <c r="C9" i="16" s="1"/>
  <c r="F10" i="16"/>
  <c r="E10" i="16"/>
  <c r="H9" i="16"/>
  <c r="F9" i="16"/>
  <c r="D10" i="16"/>
  <c r="I9" i="16"/>
  <c r="I9" i="9"/>
  <c r="H9" i="9"/>
  <c r="F9" i="9"/>
  <c r="F11" i="10"/>
  <c r="G11" i="10"/>
  <c r="J11" i="10"/>
  <c r="I11" i="10"/>
  <c r="F9" i="11"/>
  <c r="I9" i="11"/>
  <c r="H9" i="11"/>
  <c r="J13" i="7"/>
  <c r="G13" i="7"/>
  <c r="I13" i="7"/>
  <c r="F13" i="7"/>
  <c r="F11" i="8"/>
  <c r="J11" i="8"/>
  <c r="I11" i="8"/>
  <c r="G11" i="8"/>
  <c r="E10" i="18"/>
  <c r="D10" i="18"/>
  <c r="I9" i="18"/>
  <c r="H9" i="18"/>
  <c r="E9" i="18"/>
  <c r="D9" i="18"/>
  <c r="F10" i="18"/>
  <c r="F9" i="18"/>
  <c r="I10" i="18"/>
  <c r="H10" i="18"/>
  <c r="H10" i="12"/>
  <c r="D9" i="12"/>
  <c r="F10" i="12"/>
  <c r="I9" i="12"/>
  <c r="H9" i="12"/>
  <c r="F9" i="12"/>
  <c r="I10" i="12"/>
  <c r="E9" i="12"/>
  <c r="E10" i="12"/>
  <c r="C10" i="12" s="1"/>
  <c r="E11" i="13"/>
  <c r="D11" i="13"/>
  <c r="H10" i="13"/>
  <c r="G10" i="13"/>
  <c r="D10" i="13"/>
  <c r="H11" i="13"/>
  <c r="E10" i="13"/>
  <c r="G11" i="13"/>
  <c r="H9" i="6"/>
  <c r="I9" i="6"/>
  <c r="F9" i="6"/>
  <c r="I10" i="14"/>
  <c r="H10" i="14"/>
  <c r="F10" i="14"/>
  <c r="I11" i="14"/>
  <c r="E10" i="14"/>
  <c r="H11" i="14"/>
  <c r="D10" i="14"/>
  <c r="F11" i="14"/>
  <c r="E11" i="14"/>
  <c r="D11" i="14"/>
  <c r="E9" i="6"/>
  <c r="D9" i="6"/>
  <c r="E11" i="8"/>
  <c r="E9" i="9"/>
  <c r="D9" i="9"/>
  <c r="E9" i="11"/>
  <c r="D9" i="11"/>
  <c r="E13" i="7"/>
  <c r="E11" i="10"/>
  <c r="C9" i="12" l="1"/>
  <c r="C10" i="18"/>
  <c r="C10" i="17"/>
  <c r="C9" i="9"/>
  <c r="C10" i="14"/>
  <c r="D13" i="7"/>
  <c r="C9" i="18"/>
  <c r="C10" i="13"/>
  <c r="C9" i="11"/>
  <c r="C9" i="6"/>
  <c r="D11" i="8"/>
  <c r="D11" i="10"/>
  <c r="C10" i="16"/>
  <c r="C11" i="13"/>
  <c r="C11" i="14"/>
  <c r="J10" i="10"/>
  <c r="I10" i="10"/>
  <c r="H10" i="10"/>
  <c r="G10" i="10"/>
  <c r="E10" i="10"/>
  <c r="D10" i="10" s="1"/>
  <c r="J10" i="8"/>
  <c r="I10" i="8"/>
  <c r="H10" i="8"/>
  <c r="D10" i="8" s="1"/>
  <c r="G10" i="8"/>
  <c r="J12" i="7"/>
  <c r="I12" i="7"/>
  <c r="G12"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<sst xmlns="http://schemas.openxmlformats.org/spreadsheetml/2006/main" count="683" uniqueCount="252">
  <si>
    <t>Total</t>
  </si>
  <si>
    <t>11a</t>
  </si>
  <si>
    <t>11b</t>
  </si>
  <si>
    <t>GL</t>
  </si>
  <si>
    <t xml:space="preserve">Total
</t>
  </si>
  <si>
    <t>AR</t>
  </si>
  <si>
    <t>AI</t>
  </si>
  <si>
    <t>AG</t>
  </si>
  <si>
    <t>BE</t>
  </si>
  <si>
    <t>BL</t>
  </si>
  <si>
    <t>BS</t>
  </si>
  <si>
    <t>FR</t>
  </si>
  <si>
    <t>GE</t>
  </si>
  <si>
    <t>GR</t>
  </si>
  <si>
    <t>JU</t>
  </si>
  <si>
    <t>LU</t>
  </si>
  <si>
    <t>NE</t>
  </si>
  <si>
    <t>NW</t>
  </si>
  <si>
    <t>OW</t>
  </si>
  <si>
    <t>SG</t>
  </si>
  <si>
    <t>SH</t>
  </si>
  <si>
    <t>SO</t>
  </si>
  <si>
    <t>SZ</t>
  </si>
  <si>
    <t>TG</t>
  </si>
  <si>
    <t>TI</t>
  </si>
  <si>
    <t>UR</t>
  </si>
  <si>
    <t>VD</t>
  </si>
  <si>
    <t>VS</t>
  </si>
  <si>
    <t>ZG</t>
  </si>
  <si>
    <t>ZH</t>
  </si>
  <si>
    <t>Dropdownlisten</t>
  </si>
  <si>
    <t>Auswahl mit "keine Angabe"</t>
  </si>
  <si>
    <t>SH ja/nein</t>
  </si>
  <si>
    <t>…..</t>
  </si>
  <si>
    <t>_</t>
  </si>
  <si>
    <t>-</t>
  </si>
  <si>
    <t>CH</t>
  </si>
  <si>
    <t>Altfälle ja/nein</t>
  </si>
  <si>
    <t>Kontrolle</t>
  </si>
  <si>
    <t>Anzahl Personen</t>
  </si>
  <si>
    <t>Anzahl Fälle</t>
  </si>
  <si>
    <t>Eintritte oder Personen erfasst</t>
  </si>
  <si>
    <t>Canton:</t>
  </si>
  <si>
    <t>Veuillez sélectionner:</t>
  </si>
  <si>
    <t>Date de l'autorisation:</t>
  </si>
  <si>
    <t>Contact:</t>
  </si>
  <si>
    <t xml:space="preserve">Nom: </t>
  </si>
  <si>
    <t>Tél.</t>
  </si>
  <si>
    <t>Courriel:</t>
  </si>
  <si>
    <t>Table des matières</t>
  </si>
  <si>
    <t>Indicateurs PIC</t>
  </si>
  <si>
    <t>Sommaire Indicateurs AIS</t>
  </si>
  <si>
    <t>Indicateur AIS N°1: «Primo-information»</t>
  </si>
  <si>
    <t xml:space="preserve">Indicateur AIS N°2: «Experience professionnelle» </t>
  </si>
  <si>
    <t>Indicateur AIS N°3: «Formation»</t>
  </si>
  <si>
    <t>Indicateur AIS N°4: «Alphabétisation»</t>
  </si>
  <si>
    <t>Indicateur AIS N°6: «Dossiers ouverts»</t>
  </si>
  <si>
    <t>Indicateur AIS N°7: «Encouragement de l'apprentissage de la langue chez les adultes»</t>
  </si>
  <si>
    <t>Indicateur AIS N°8: «Niveau de langue chez les adultes»</t>
  </si>
  <si>
    <t>Indicateur AIS N°9: «Encouragement de l'apprentissage de la langue chez les enfants d'âge préscolaire»</t>
  </si>
  <si>
    <t>Indicateur AIS N°11a: «Encouragement de l'aptitude à la formation» (16-25 ans)</t>
  </si>
  <si>
    <t>Indicateur AIS N°11b: «Encouragement de l'employabilité» (26-55 ans)</t>
  </si>
  <si>
    <t>Indicateur AIS N°14: «Vivre-ensemble»</t>
  </si>
  <si>
    <t>Date de la saisie des données:</t>
  </si>
  <si>
    <t xml:space="preserve">N. </t>
  </si>
  <si>
    <t>Indicateurs 
(circulaire PIC, chap. 7.1.2)</t>
  </si>
  <si>
    <t>Indicateurs opérationnalisés</t>
  </si>
  <si>
    <t>Explications</t>
  </si>
  <si>
    <t>Nombre total</t>
  </si>
  <si>
    <t>Remarques du canton</t>
  </si>
  <si>
    <r>
      <t xml:space="preserve">Nombre de personnes qu’il a été possible d’atteindre dans le cadre de la </t>
    </r>
    <r>
      <rPr>
        <b/>
        <sz val="11"/>
        <rFont val="Arial"/>
        <family val="2"/>
      </rPr>
      <t>primo-information</t>
    </r>
  </si>
  <si>
    <t>Type</t>
  </si>
  <si>
    <t>N°</t>
  </si>
  <si>
    <t>Indicateurs 
(Circulaire AIS, chap. 7.2)</t>
  </si>
  <si>
    <t>Nombre de R 
(incl. APR)</t>
  </si>
  <si>
    <t>Nombre d'AP</t>
  </si>
  <si>
    <t>Nombre de N</t>
  </si>
  <si>
    <t>Nombre de femmes</t>
  </si>
  <si>
    <t>Nombre d'hommes</t>
  </si>
  <si>
    <t xml:space="preserve">Sont considérés:
</t>
  </si>
  <si>
    <t>Primo-information et besoins en matière d’encouragement de l’intégration</t>
  </si>
  <si>
    <t>Cas régis par l'ancien droit
(avant le 1.5.19)</t>
  </si>
  <si>
    <t>que des cas dépendants de l'aide-sociale</t>
  </si>
  <si>
    <t>P</t>
  </si>
  <si>
    <t>Primo-information</t>
  </si>
  <si>
    <t>Nombre de R/AP de 16 ans ou plus ayant bénéficié, au cours le l'année sous revue, d'une primo-information</t>
  </si>
  <si>
    <t>C</t>
  </si>
  <si>
    <t>Expérience professionnelle</t>
  </si>
  <si>
    <t>Nombre de R/AP de 16 ans ou plus dont l’expérience professionnelle cumulée est:
- ≤ 1 an
- &gt; 1 ≤  5 ans 
- &gt; 5 ≤1 0 ans 
- &gt; 10 ans</t>
  </si>
  <si>
    <t xml:space="preserve">≤1 an expérience professionelle cumulée
</t>
  </si>
  <si>
    <t>&gt;1 ≤ 5 ans expérience professionelle cumulée</t>
  </si>
  <si>
    <t>&gt;5 ≤10 ans expérience professionelle cumulée</t>
  </si>
  <si>
    <t>&gt;10 ans expérience professionelle cumulée</t>
  </si>
  <si>
    <t>Formation</t>
  </si>
  <si>
    <t xml:space="preserve">Nombre de R/AP de 16 ans ou plus ayant fréquenté l’école:
- jusqu'au 6 ans (0-72 mois)
- plus de 6 ans (a partir de 73 mois)
</t>
  </si>
  <si>
    <t>≤6 ans</t>
  </si>
  <si>
    <t>&gt;6 ans</t>
  </si>
  <si>
    <t>Alphabétisation</t>
  </si>
  <si>
    <t>Nombre de R/AP de 16 ans ou plus non alphabétisés</t>
  </si>
  <si>
    <t>Potentiel</t>
  </si>
  <si>
    <t>Nombre de R/AP de 16 ans et plus, qui, d’après une première évaluation réalisée par la personne chargée de la gestion des cas, ont ou non le potentiel pour devenir aptes à intégrer le marché du travail ou à suivre une formation dans la perspective de la phase de première intégration.</t>
  </si>
  <si>
    <t>plutôt oui</t>
  </si>
  <si>
    <t>plutôt non</t>
  </si>
  <si>
    <t>Conseil</t>
  </si>
  <si>
    <t>Dossiers ouverts</t>
  </si>
  <si>
    <t>Nombre de nouveaux dossiers ouverts au cours de l’année sous revue dans le cadre de la gestion continue des cas</t>
  </si>
  <si>
    <t>Langue et Formation</t>
  </si>
  <si>
    <t>Encouragement de l’apprentissage de la langue chez les adultes</t>
  </si>
  <si>
    <t xml:space="preserve">Nombre de R/AP de 16 ans ou plus ayant bénéficié, au cours de l’année sous revue, d’une offre d’encouragement de l’apprentissage de la langue
</t>
  </si>
  <si>
    <t>O</t>
  </si>
  <si>
    <t>Niveau de langue chez les adultes</t>
  </si>
  <si>
    <t>Nombre de R/AP de 19 ans ou plus possédant au moins, trois ans après être entrés en Suisse, le niveau A1 du CECR, à l’oral et à l’écrit, dans la langue parlée sur leur lieu de résidence.</t>
  </si>
  <si>
    <t>Petite enfance</t>
  </si>
  <si>
    <t>Encouragement de l’apprentissage de la langue chez les enfants d’âge préscolaire</t>
  </si>
  <si>
    <t>Nombre de R/AP d’âge préscolaire, avant d’entrer à l’école obligatoire, ayant participé à des mesures d’encouragement linguistique précoce au cours de l’année sous revue</t>
  </si>
  <si>
    <t>Aptitude à la formation et employabilité</t>
  </si>
  <si>
    <t>Encouragement de l’aptitude à la formation</t>
  </si>
  <si>
    <t>Encouragement de l’employabilité</t>
  </si>
  <si>
    <t>Vivre-ensemble</t>
  </si>
  <si>
    <t>Nombre de R/AP de 16 ans ou plus ayant bénéficié, au cours de l’année sous revue, d’une offre/mesure visant en premier lieu à encourager l’intégration sociale</t>
  </si>
  <si>
    <t>Indicateur</t>
  </si>
  <si>
    <t>Femmes</t>
  </si>
  <si>
    <t>Hommes</t>
  </si>
  <si>
    <t>Précisions</t>
  </si>
  <si>
    <t>Remarques du Canton</t>
  </si>
  <si>
    <t>Indicateur opérationnalisé</t>
  </si>
  <si>
    <t>Univers statistique</t>
  </si>
  <si>
    <t xml:space="preserve">≤ 1 an expérience professionelle cumulée
</t>
  </si>
  <si>
    <t>&gt; 1 ≤  5 ans expérience professionelle cumulée</t>
  </si>
  <si>
    <t>&gt; 5 ≤ 10 ans expérience professionelle cumulée</t>
  </si>
  <si>
    <t>&gt; 10 ans expérience professionelle cumulée</t>
  </si>
  <si>
    <t>Nombre de nouveaux dossiers ouverts au cours de l’année sous revue dans le cadre de la gestion continue des cas.</t>
  </si>
  <si>
    <t>Sont considérés: 
(veuillez sélectionner:)</t>
  </si>
  <si>
    <r>
      <t xml:space="preserve">Saisie
</t>
    </r>
    <r>
      <rPr>
        <sz val="11"/>
        <rFont val="Arial"/>
        <family val="2"/>
      </rPr>
      <t>(veuillez sélectionner:)</t>
    </r>
  </si>
  <si>
    <t>le nombre de personnes qui ont participé à au moins une offre</t>
  </si>
  <si>
    <t>nombre d'offres fréquentées</t>
  </si>
  <si>
    <t>nombre de personnes ou nombre de participations</t>
  </si>
  <si>
    <t>Évaluation de langue reconnue</t>
  </si>
  <si>
    <t>R/AP et personne chargée de la gestion des cas</t>
  </si>
  <si>
    <t>oui</t>
  </si>
  <si>
    <t>non</t>
  </si>
  <si>
    <t>pas d'information</t>
  </si>
  <si>
    <t>Évaluation par
(veuillez sélectionner:)</t>
  </si>
  <si>
    <t xml:space="preserve">Le canton mentionne, dans la colonne Remarques du canton, les types d’offres/mesures qu’il prend en compte lors de la saisie de cet indicateur. Il doit s’agir exclusivement de mesures visant principalement à encourager l’intégration sociale. </t>
  </si>
  <si>
    <t>Canton</t>
  </si>
  <si>
    <t>Univers statistique Indicateurs N°1-6</t>
  </si>
  <si>
    <t>Univers statistique Indicateur N° 7</t>
  </si>
  <si>
    <t>Univers statistique Indicateur N° 8</t>
  </si>
  <si>
    <t>Univers statistique Indicateur N° 9</t>
  </si>
  <si>
    <t>R (incl. APR)</t>
  </si>
  <si>
    <t>AP</t>
  </si>
  <si>
    <t>Univers statistique Indicateur N° 11a</t>
  </si>
  <si>
    <t>Univers statistique Indicateur N° 11b</t>
  </si>
  <si>
    <t>Univers statistique Indicateur N° 14</t>
  </si>
  <si>
    <t>Nombre de S</t>
  </si>
  <si>
    <t>S</t>
  </si>
  <si>
    <t>Univers statistique AIS: Effectif des R/AP</t>
  </si>
  <si>
    <t>Indicateur AIS N°5: «Potentiel»</t>
  </si>
  <si>
    <t>Nombre d’étrangers titulaires d’un permis B, C (en dehors du domaine de l'asile) et L avec lesquels un premier entretien bilatéral a été mené ou qui ont participé à une séance d'information au cours de l'année sous revue.</t>
  </si>
  <si>
    <t xml:space="preserve">Nombre d'étrangers titulaires d'un permis B, C (en dehors du domaine de l'asile et des réfugiés) et L avec lesquels, au cours de l'année sous revue, une consulation financée via le domaine d'encouragement «Conseil» a été menée. </t>
  </si>
  <si>
    <t xml:space="preserve">Nombre d'étrangers titulaires d'un permis B, C (en dehors du domaine de l'asile et des réfugiés) et L avec lesquels, au cours de l'année sous revue, une consulation financée via le domaine d'encouragement «Protection contre la discrimination» a été menée. </t>
  </si>
  <si>
    <t xml:space="preserve">Doivent être comptabilisées toutes les personnes ayant bénéficié, au cours de l’année sous revue, d’une consultation financée via le domaine d'encouragement «Conseil». </t>
  </si>
  <si>
    <t xml:space="preserve">Doivent être comptabilisées toutes les personnes ayant bénéficié, au cours de l’année sous revue, d’une consultation financée via le domaine d'encouragement «Protection contre la discrimination». </t>
  </si>
  <si>
    <t>Doivent être comptabilisés les R/AP pour lesquelles le service chargé de la gestion des cas a ouvert un nouveau dossier au cours de l’année sous revue.</t>
  </si>
  <si>
    <t xml:space="preserve">Doivent être comptabilisés dans la gestion des cas, les R/AP avec lesquels une première évaluation des ressources individuelles ou un premier entretien a eu lieu durant l’année sous revue. Dans certains cantons, cette première évaluation ou ce premier entretien est organisé à l’ouverture du dossier.
Les données fournies aux indicateurs 2 à 5 reposent sur une déclaration des R/AP et ne peuvent/doivent pas être approfondies par la personne chargée de la gestion des cas. Une seule saisie de ces données suffit pour le relevé des indicateurs.
</t>
  </si>
  <si>
    <t>Doivent être comptabilisés tous les R/AP qui ne possèdent aucune connaissance écrite de leur langue maternelle.
Doivent être pris en compte dans la gestion des cas, les R/AP avec lesquels une première évaluation des ressources individuelles ou un premier entretien a eu lieu durant l’année sous revue.
Les données fournies aux indicateurs 2 à 5 reposent sur une déclaration des R/AP et ne peuvent/doivent pas être approfondies par la personne chargée de la gestion des cas. Une seule saisie de ces données suffit pour le relevé des indicateurs.</t>
  </si>
  <si>
    <t>Que des cas dépendants de l'aide-sociale</t>
  </si>
  <si>
    <t>Enseignant de langue</t>
  </si>
  <si>
    <t>Nombre de R/AP dans la gestion de cas durant l’année sous revue, en âge préscolaire.
Il faut compter les mesures visant à encourager la formation linguistique des enfants.</t>
  </si>
  <si>
    <t xml:space="preserve">Doivent être comptabilisés tous les R/AP qui ont bénéficié, au cours de l’année sous revue, d’une première information, indépendamment du fait qu'ils aient reçu une décision d'asile assortie d'une autorisa-tion de séjour au cours de l'année sous revue ou de l'année précédente. . 
Seuls les (premiers) entretiens bilatéraux et les séances d’information font partie de la primo-information.
Il y a lieu d’admettre que la première information se déroule dans les mois qui suivent l’attribution et en une seule fois. Certains cantons organisent la première information durant la procédure d’asile (étendue), d’autres après la décision d’asile.
</t>
  </si>
  <si>
    <t>Etat au</t>
  </si>
  <si>
    <t>État au</t>
  </si>
  <si>
    <t>Univers statistique AIS: R/AP avec décision d'asile à partir du 1 mai 2019 (AIS entré en vigueur)</t>
  </si>
  <si>
    <r>
      <t xml:space="preserve">Nombre de personnes ayant bénéficié de consultations dans le domaine d'encouragement </t>
    </r>
    <r>
      <rPr>
        <b/>
        <sz val="11"/>
        <rFont val="Arial"/>
        <family val="2"/>
      </rPr>
      <t xml:space="preserve">«Conseil» </t>
    </r>
  </si>
  <si>
    <r>
      <t>Nombre de personnes ayant bénéficié de consultations dans le domaine d'encouragement «</t>
    </r>
    <r>
      <rPr>
        <b/>
        <sz val="11"/>
        <rFont val="Arial"/>
        <family val="2"/>
      </rPr>
      <t>Protection contre la discrimination</t>
    </r>
    <r>
      <rPr>
        <sz val="11"/>
        <rFont val="Arial"/>
        <family val="2"/>
      </rPr>
      <t xml:space="preserve">» </t>
    </r>
  </si>
  <si>
    <t xml:space="preserve">Nombre de personnes ayant suivi une offre d'encouragement de l'apprentissage de la langue </t>
  </si>
  <si>
    <t>Nombre d’étrangers titulaires d’un permis B, C (en dehors du domaine de l'asile) et L ayant participé, au cours de l’année sous revue, à une offre d’encouragement de l’apprentissage de la langue.</t>
  </si>
  <si>
    <t>Doivent être comptabilisées toutes les personnes ayant suivi, au cours de l'année sous revue, une offre d'encouragement linguistique. Chaque personne n'est comptée qu'une seule fois même si elle a suivi plusieurs offres différentes. Si la participation à l'offre est interrompue ou annulée, l'entrée est tout de même comptabilisée. 
Le canton mentionne, dans la colonne Remarques du canton, les offres d’encouragement de l’apprentissage de la langue qu’il prend en compte lors de la saisie de cet indicateur.</t>
  </si>
  <si>
    <r>
      <t>Nombre de personnes ayant suivi une offre dans le domaine d’encouragement «</t>
    </r>
    <r>
      <rPr>
        <b/>
        <sz val="11"/>
        <rFont val="Arial"/>
        <family val="2"/>
      </rPr>
      <t>Employabilité»</t>
    </r>
  </si>
  <si>
    <t>Nombre d’étrangers titulaires d’un permis B, C (en dehors du domaine de l'asile) et L ayant participé, au cours de l’année sous revue, à une offre d'encouragement de l'aptitude à l’employabilité.</t>
  </si>
  <si>
    <t>Doivent être comptabilisées toutes les personnes ayant suivi, au cours de l’année sous revue, une offre d'encouragement de l'aptitude à l’employabilité. Chaque personne n'est comptée qu'une seule fois même si elle a suivi plusieurs offres différentes. Si la participation à l'offre est interrompue ou annulée, l'entrée est tout de même comptabilisée. 
En règle générale, il s'agit d'offres de qualification sur le marché du travail primaire et secondaire. 
Le canton mentionne, dans la colonne Remarques du canton, les types d’offres qu’il prend en compte lors de la saisie de cet indicateur. Les offres proposées aux AP/R principalement dans le but d’encourager l’apprentissage de la langue ne doivent pas être comptabilisées.</t>
  </si>
  <si>
    <t>Doivent être comptabilisés dans la gestion des cas, les R/AP avec lesquels une première évaluation des ressources individuelle ou un premier entretien a eu lieu durant l’année sous revue. Dans certains cantons, cette première évaluation ou ce premier entretien est organisé à l’ouverture du dossier. 
Toute expérience professionnelle rémunérée à l’étranger, dans le pays de provenance, lors de la fuite ou en Suisse doit être prise en compte. Les expériences professionnelles réalisées dans le cadre d’une formation comptent aussi.
Au plus tard à partir du PIC 3 (à partir de l'année de référence 2024), les cantons devront saisir le nombre d'années d'expérience professionnelle sous forme de valeur numérique et l'indiquer dans la grille d'indicateurs.
Les données fournies aux indicateurs 2 à 5 reposent sur une déclaration des R/AP et ne peuvent/doivent pas être approfondies par la personne chargée de la gestion des cas. Une seule saisie de ces données suffit pour le relevé des indicateurs.</t>
  </si>
  <si>
    <t>Doivent être comptabilisés dans la gestion des cas, les R/AP avec lesquels une première évaluation des ressources individuelles ou un premier entretien a eu lieu durant l’année sous revue.
La localité des écoles fréquentées (dans le pays de provenance, lors de la fuite ou ailleurs en dehors de la Suisse) est sans importance.
Au plus tard à partir du PIC 3 (à partir de l'année de référence 2024), les cantons devront saisir le nombre d'années de scolarité accomplies sous forme de valeur numérique et l'indiquer dans la grille d'indicateurs.
Les données fournies aux indicateurs 2 à 5 reposent sur une déclaration des R/AP et ne peuvent/doivent pas être approfondies par la personne chargée de la gestion des cas. Une seule saisie de ces données suffit pour le relevé des indicateurs.</t>
  </si>
  <si>
    <t>Doivent être comptabilisés tous les R/AP qui, au cours de l'année sous revue, ont participé à une offre d'encouragement de l'apprentissage de la langue après y avoir été attribués par le service chargé de la gestion des cas. Chaque personne n'est comptée qu'une seule fois même si elle a suivi plusieurs offres différentes. 
Si la participation à l'offre est interrompue ou annulée, l'entrée est tout de même comptabilisée. 
A partir du PIC 3 (à partir de l'année de référence 2024), les cantons devront différencier le nombre de R/AP par année d'entrée et l'indiquer dans la grille des indicateurs. Le premier nombre d'entrées à être indiqué est celui de l'année 2018 (2024 : 7 ans en Suisse).</t>
  </si>
  <si>
    <t xml:space="preserve">Nombre de R/AP dans la gestion de cas durant l’année sous revue, âgés d’au moins 19 ans, entrés en Suisse trois ans avant l’année sous revue (cohorte).
Si possible, le canton indique comment il compte évaluer le niveau de langue (sélection multiple possible):
• évaluation de langue reconnue 
• évaluation par l’enseignant de langue
• évaluation commune par la personne chargée de la gestion des cas et l’AP/R
A partir du PIC 3 (à partir de l'année de référence 2024), il est recommandé aux cantons d'enregistrer le niveau de langue des R/AP. L'indication dans la grille d'indicateurs (nombre de R/AP avec un niveau de langue A1/A2, nombre de R/AP avec un niveau de langue B1/B2, nombre de R/AP avec un niveau de langue C1/C2) reste toutefois facultative.
</t>
  </si>
  <si>
    <t>Univers statistique AIS: R/AP entrés en Suisse du 1.1.- 31.12.2019 (feuille 17)*</t>
  </si>
  <si>
    <t>Doivent être comptabilisés tous les R/AP qui ont participé, au cours de l’année sous revue, à une offre visant à encourager l’aptitude à la formation (et/ou l'employabilité). Chaque personne n'est comptée qu'une seule fois même si elle a suivi plusieurs offres différentes. Si la participation à l'offre est interrompue ou annulée, l'entrée est tout de même comptabilisée. 
En règle générale, il s’agit d’offres visant à développer les compétences de base (mathématiques du quotidien et TIC) ou à préparer à la formation (professionnelle initiale) ou encore d’offres de la transition 1 (offres de formation transitoires).
Dans la pratique, il n’est généralement pas possible de séparer clairement les offres visant à encourager l’aptitude à la formation de celles visant à développer l’employabilité. Au final, le service chargé de la gestion des cas décide (sur la base du plan d’intégration individuel du R/AP) si l’offre X vise à encourager l’aptitude à la formation ou à développer l’employabilité. En principe, selon l’AIS, l’encouragement de l’aptitude à la formation est prioritaire pour les R/AP entre 16 et 25 ans tout comme l’est l’encouragement de l’employabilité pour les R/AP entre 26 et 55 ans. Dans le cas de l’indicateur 11, la tranche d’âge est donc décisive. 
Le canton mentionne, dans la colonne Remarques du canton, la manière dont le nombre indiqué se compose, c’est-à-dire les types d’offres qu’il prend en compte lors de la saisie de cet indicateur. Les offres proposées aux R/AP principalement dans le but d’encourager l’apprentissage de la langue ne doivent pas être comptabilisées.</t>
  </si>
  <si>
    <t>Doivent être comptabilisés tous les R/AP qui ont participé, au cours de l’année sous revue, à une offre visant à développer l’employabilité (et l’aptitude à la formation). Chaque personne n'est comptée qu'une seule fois même si elle a suivi plusieurs offres différentes. Si la participation à l'offre est interrompue ou annulée, l'entrée est tout de même comptabilisée. 
En règle générale, il s'agit d'offres de qualification sur le marché du travail primaire et secondaire. 
Dans la pratique, il n’est généralement pas possible de séparer clairement les offres visant à encourager l’aptitude à la formation de celles visant à développer l’employabilité. Au final, le service chargé de la gestion des cas décide (sur la base du plan d’intégration individuel du R/AP) si l’offre X vise à encourager l’aptitude à la formation ou à développer l’employabilité. En principe, selon l’AIS, l’encouragement de l’aptitude à la formation est prioritaire pour les R/AP entre 16 et 25 ans tout comme l’est l’encouragement de l’employabilité pour les R/AP entre 26 et 55 ans. Dans le cas de l’indicateur 11, la tranche d’âge est donc décisive. 
Le canton mentionne, dans la colonne Remarques du canton, la manière dont le nombre indiqué se compose, c’est-à-dire les types d’offres qu’il prend en compte lors de la saisie de cet indicateur. Les offres proposées aux R/AP principalement dans le but d’encourager l’apprentissage de la langue ne doivent pas être comptabilisées.</t>
  </si>
  <si>
    <t>Doivent être comptabilisées toutes les personnes ayant bénéficié, au cours de l’année sous revue, d’une première information. La primo-information comprend uniquement les (premiers) entretiens bilatéraux et les séances d'information. 
Le canton mentionne, dans la colonne Remarques du canton, la manière dont le nombre indiqué se compose, c’est-à-dire les formes de primo-information qu’il prend en compte.</t>
  </si>
  <si>
    <t>Nombre de R/AP entre 16 et 25 ans ayant participé, au cours de l’année sous revue, à une offre visant à encourager l’aptitude à la formation (et/ou l’employabilité)</t>
  </si>
  <si>
    <t xml:space="preserve">Nombre de R/AP entre 26 et 55 ans ayant participé, au cours de l’année sous revue, à une offre visant à encourager l’aptitude à la l’employabilité (et/ou formation) </t>
  </si>
  <si>
    <t>Grille des indicateurs PIC / AIS - Année de référence 2023</t>
  </si>
  <si>
    <t>Nombre de R/AP de 16 ans ou plus dont l’expérience professionnelle cumulée est:
- ≤ 1 an
- &gt; 1 ≤  5 ans 
- &gt; 5 ≤1 0 ans 
- &gt; 10 ans*</t>
  </si>
  <si>
    <t>Univers statistique AIS: R/AP avec décision au cours de l’année sous revue (feuille 16)**</t>
  </si>
  <si>
    <t>Univers statistique prévu pour le rapport 2023 sur la base des données du SYMIC afin de contrôler la plausibilité et comparer les données entre les cantons (vaut pour les indicateurs 1 à 6): nombre de R/AP, nés le 31.12.2007 ou avant, qui ont reçu une décision d’asile avec autorisation de séjour au cours de l'année sous revue et qui étaient âgés d’au moins 16 ans lors de leur entrée dans le pays.</t>
  </si>
  <si>
    <t>Nombre de R/AP de 16 ans ou plus ayant fréquenté l’école:
- jusqu'au 6 ans (0-72 mois)
- plus de 6 ans (dés 73 mois)*</t>
  </si>
  <si>
    <t>Nombre de R/AP die 16 ans ou plus non alphabétisés*</t>
  </si>
  <si>
    <t>Nombre de nouveaux dossiers ouverts au cours de l’année sous revue dans le cadre de la gestion continue des cas*</t>
  </si>
  <si>
    <t>Nombre de R/AP de 16 ans ou plus ayant bénéficié, au cours de l’année sous revue, d’une offre d’encouragement de l’apprentissage de la langue*</t>
  </si>
  <si>
    <t>Univers statistique AIS: R/AP avec décision à partir du 1.5.2019 (feuille 16)**</t>
  </si>
  <si>
    <t>Pour le rapport 2023: Nombre de R/AP nés le 31.12.2007 ou avant, ayant bénéficié, au cours de l’année sous revue, d’une offre d’encouragement de l’apprentissage de la langue.</t>
  </si>
  <si>
    <t>Univers statistique prévu pour le rapport 2023 sur la base des données du SYMIC afin de contrôler la plausibilité et comparer les données entre les cantons: nombre de R/AP nés le 31.12.2007 ou avant, qui sont entrés en Suisse à partir du 1.1.2017 et qui étaient âgés d’au moins 16 ans lors de leur entrée dans le pays.</t>
  </si>
  <si>
    <t>Univers statistique prévu pour le rapport 2023 sur la base des données du SYMIC afin de contrôler la plausibilité et comparer les données entre les cantons: nombre de  R/AP nés entre le 1.8.2019 et le 31.12.2023.</t>
  </si>
  <si>
    <t>Nombre de R/AP d’âge préscolaire ayant participé, avant d’entrer à l’école obligatoire, à des mesures d’encouragement linguistique précoce au cours de l’année sous revue*</t>
  </si>
  <si>
    <t>Univers statistique AIS: R/AP entrés en Suisse à partir du 1.8.2018 (feuille 17)**</t>
  </si>
  <si>
    <t>Nombre de R/AP entre 16 et 25 ans ayant participé, au cours de l’année sous revue, à une offre visant à encourager l’aptitude à la formation (et/ou l’employabilité)*</t>
  </si>
  <si>
    <t>Pour le rapport 2023: Nombre de R/AP entre 16 et 25 ans (nés entre le 1.1.1998 et le 31.12.2007) ayant participé, au cours de l’année sous revue, à une offre visant à encourager l’aptitude à la formation (et/ou l’employabilité).</t>
  </si>
  <si>
    <t>Univers statistique prévu pour le rapport 2023 sur la base des données du SYMIC afin de contrôler la plausibilité et comparer les données entre les cantons: Nombre de R/AP nés entre le 1.1.1998 et le 31.12.2007, qui sont entrés en Suisse à partir du 1.1.2017 et qui étaient âgés d’au moins 16 ans lors de leur entrée dans le pays.</t>
  </si>
  <si>
    <t>Nombre de R/AP entre 26 et 55 ans ayant participé, au cours de l’année sous revue, à une offre visant à encourager l’aptitude à l’employabilité (et/ou à la formation)*</t>
  </si>
  <si>
    <t xml:space="preserve">Pour le rapport 2023: Nombre de R/AP entre 26 et 55 ans (nés entre le 1.1.1968 et le 31.12.1997) ayant participé, au cours de l’année sous revue, à une offre visant à encourager l’aptitude à l’employabilité (et/ou la formation). </t>
  </si>
  <si>
    <t xml:space="preserve">Univers statistique prévu pour le rapport 2023 sur la base des données du SYMIC afin de contrôler la plausibilité et comparer les données entre les cantons: Nombre de R/AP nés entre le 1.1.1968 et le 31.12.1997 et qui sont entrés en Suisse à partir du 1.1.2017. </t>
  </si>
  <si>
    <t>Nombre de R/AP de 16 ans ou plus ayant bénéficié, au cours de l’année sous revue, d’une offre/mesure visant en premier lieu à encourager l’intégration sociale*</t>
  </si>
  <si>
    <t>Pour le rapport 2023: Nombre de R/AP nés le 31.12.2007 ou avant, ayant bénéficié, au cours de l’année sous revue, d’une offre/mesure visant en premier lieu à encourager l’intégration sociale,</t>
  </si>
  <si>
    <t>Univers statistique prévu pour le rapport 2023 sur la base des données du SYMIC afin de contrôler la plausibilité et comparer les données entre les cantons: nombre de R/AP nés le 31.12.2007 ou avant, qui sont entrés en Suisse à partir du 1.1.2017.</t>
  </si>
  <si>
    <t>Nombre de R/AP nés le 31.12.2007 ou avant, qui ont reçu une décision d’asile avec autorisation de séjour et qui étaient âgés d’au moins 16 ans lors de leur entrée dans le pays</t>
  </si>
  <si>
    <t>Nombre de R/AP nés le 31.12.2007 ou avant, qui sont entrés en Suisse à partir du 1.1.2017 et qui étaient âgés d’au moins 16 ans lors de leur entrée dans le pays.</t>
  </si>
  <si>
    <t>Nombre de R/AP nés le 31.12.2003 ou avant, qui sont entrés en Suisse entre le 1.1. et l 31.12.2020</t>
  </si>
  <si>
    <t>Nombre de  R/AP le 31.12.2023 nés entre le 1.8.2019 et le 31.12.2023.</t>
  </si>
  <si>
    <t>Nombre de R/APnés entre le 1.1.1998 et le 31.12.2007, qui sont entrés en Suisse à partir du 1.1.2017 et qui étaient âgés d’au moins 16 ans lors de leur entrée dans le pays.</t>
  </si>
  <si>
    <t xml:space="preserve">Nombre de R/AP nés entre le 1.1.1968 et le 31.12.1997 et qui sont entrés en Suisse à partir du 1.1.2017. </t>
  </si>
  <si>
    <t>Nombre de R/AP nés le 31.12.2007 ou avant, qui sont entrés en Suisse à partir du 1.1.2017.</t>
  </si>
  <si>
    <r>
      <t xml:space="preserve">Source: SEM/SYMIC, jour de référence: </t>
    </r>
    <r>
      <rPr>
        <b/>
        <u/>
        <sz val="11"/>
        <color theme="1"/>
        <rFont val="Arial"/>
        <family val="2"/>
      </rPr>
      <t>31.12.2023</t>
    </r>
  </si>
  <si>
    <t xml:space="preserve">** Les personnes avec un statut de protection S ne sont pas comptabilisées dans les univers statistiques « Total », « Femmes » et « Hommes ». </t>
  </si>
  <si>
    <t>* La valeur « Total » est calculée sans tenir compte des personnes avec un statut de protection S.</t>
  </si>
  <si>
    <t xml:space="preserve">Pour le rapport 2023: Nombre de R/AP nés le 31.12.2007 ou avant, ayant bénéficé, au cours de l'année sous revue, d'une primo-information. </t>
  </si>
  <si>
    <t>Pour le rapport 2023: Nombre de R/AP nés le 31.12.2007 ou avant, dont l’expérience professionnelle cumulée est:
- ≤ 1 an
- &gt; 1 ≤  5 ans 
- &gt; 5 ≤1 0 ans 
- &gt; 10 ans</t>
  </si>
  <si>
    <t xml:space="preserve">Pour le rapport 2023: Nombre de R/AP nés le 31.12.2007 ou avant, ayant fréquenté l'école:
- jusqu'au 6 ans (0-72 mois)
- plus de 6 ans (dés 73 mois)
</t>
  </si>
  <si>
    <t>Pour le rapport 2023: Nombre de R/AP nés le 31.12.2007 ou avant non alphabétisés.</t>
  </si>
  <si>
    <t>Pour le rapport 2023: Nombre de R/AP nés le 31.12.2007 ou avant, qui, d’après une première évaluation réalisée par la personne chargée de la gestion des cas, ont ou non le potentiel pour devenir aptes à intégrer le marché du travail ou à suivre une formation dans la perspective de la phase de première intégration.</t>
  </si>
  <si>
    <t xml:space="preserve">Pour le rapport 2023: Nombre de R/AP nés le 31.12.2003 ou avant, possédant au moins, trois ans après leur entrée en Suisse (1.1.-31.12.2020), le niveau A1 du CECR, à l'oral et à l'ecrit, dans la langue parlée sur leur lieu de résidence.
</t>
  </si>
  <si>
    <t>Pour le rapport 2023: Nombre de R/AP d’âge préscolaire (nés entre le 1.8.2019 et le 31.12.2023), avant d’entrer à l’école obligatoire, ayant participé à des mesures d’encouragement linguistique précoce au cours de l’année sous revue.</t>
  </si>
  <si>
    <t>Nombre de R/AP de 16 ans ou plus ayant bénéficié, au cours le l'année sous revue, d'une primo-information*</t>
  </si>
  <si>
    <t>Nombre de R/AP de 16 ans et plus, qui, d’après une première évaluation réalisée par la personne chargée de la gestion des cas, ont ou non le potentiel pour devenir aptes à intégrer le marché du travail ou à suivre une formation dans la perspective de la phase de première intégration*</t>
  </si>
  <si>
    <t>Nombre de R/AP de 19 ans ou plus possédant au moins, trois ans après être entrés en Suisse, le niveau A1 du CECR, à l’oral et à l’écrit, dans la langue parlée sur leur lieu de résidence*</t>
  </si>
  <si>
    <t>Univers statistique AIS: R/AP entrés en Suisse à partir du 1.1.2017 (feuille 17)**</t>
  </si>
  <si>
    <t>Univers statistique prévu pour le rapport 2023 sur la base des données du SYMIC afin de contrôler la plausibilité et comparer les données entre les cantons: nombre de R/AP nés le 31.12.2003 ou avant, qui sont entrés en Suisse au cours de l'année 2020 (1.1.-31.12.2020).</t>
  </si>
  <si>
    <t>Feuille</t>
  </si>
  <si>
    <t xml:space="preserve">Contenu </t>
  </si>
  <si>
    <t xml:space="preserve">R/AP inclus </t>
  </si>
  <si>
    <t>Indicateur AIS N°1 : « Primo-information » - Indicateur de prestations</t>
  </si>
  <si>
    <t>Indicateur AIS N°2: « Expérience professionnelle » - Indicateur de contexte</t>
  </si>
  <si>
    <t>Indicateur AIS N°3: « Formation » - Indicateur de contexte</t>
  </si>
  <si>
    <t>Indicateur AIS N°4: « Alphabétisation » - Indicateur de contexte</t>
  </si>
  <si>
    <t>Indicateur AIS N°5: « Potentiel » - Indicateur de contexte</t>
  </si>
  <si>
    <t>Indicateur AIS N°6: « Dossiers ouverts » - Indicateur de prestations</t>
  </si>
  <si>
    <t>Indicateur AIS N°7: « Encouragement de l'apprentissage de la langue chez les adultes » - Indicateur de prestations</t>
  </si>
  <si>
    <t>Indicateur AIS N°8: « Niveau de langue chez les adultes » - Indicateur d'objectifs</t>
  </si>
  <si>
    <t>Indicateur AIS N°9: « Encouragement linguistique précoce chez les enfants d'âge préscolaire » - Indicateur de prestations</t>
  </si>
  <si>
    <t>Indicateur AIS N°11a:  « Encouragement de l'aptitude à la formation » - Indicateur de prestations</t>
  </si>
  <si>
    <t>Indicateur AIS N°11b: « Encouragement de l'employabilité » - Indicateur de prestations</t>
  </si>
  <si>
    <t>Indicateur AIS 14 « Vivre-ensemble » - Indicateur de prestations</t>
  </si>
  <si>
    <r>
      <t xml:space="preserve">Quelle: SEM/ZEMIS, jour de référence : </t>
    </r>
    <r>
      <rPr>
        <b/>
        <u/>
        <sz val="11"/>
        <color theme="1"/>
        <rFont val="Arial"/>
        <family val="2"/>
      </rPr>
      <t>31.12.2023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</si>
</sst>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rial"/>
      <family val="2"/>
    </font>
    <font>
      <b/>
      <sz val="11"/>
      <color theme="1"/>
      <name val="Arial"/>
      <family val="2"/>
    </font>
    <font>
      <sz val="10"/>
      <name val="Arial"/>
      <family val="2"/>
    </font>
    <font>
      <sz val="11"/>
      <name val="Arial"/>
      <family val="2"/>
    </font>
    <font>
      <b/>
      <sz val="11"/>
      <name val="Arial"/>
      <family val="2"/>
    </font>
    <font>
      <b/>
      <i/>
      <sz val="11"/>
      <name val="Arial"/>
      <family val="2"/>
    </font>
    <font>
      <b/>
      <sz val="14"/>
      <name val="Arial"/>
      <family val="2"/>
    </font>
    <font>
      <b/>
      <sz val="20"/>
      <name val="Arial"/>
      <family val="2"/>
    </font>
    <font>
      <b/>
      <sz val="22"/>
      <name val="Arial"/>
      <family val="2"/>
    </font>
    <font>
      <sz val="18"/>
      <color theme="1"/>
      <name val="Arial"/>
      <family val="2"/>
    </font>
    <font>
      <sz val="20"/>
      <color theme="1"/>
      <name val="Arial"/>
      <family val="2"/>
    </font>
    <font>
      <sz val="22"/>
      <color theme="1"/>
      <name val="Arial"/>
      <family val="2"/>
    </font>
    <font>
      <b/>
      <sz val="22"/>
      <color theme="1"/>
      <name val="Arial"/>
      <family val="2"/>
    </font>
    <font>
      <b/>
      <sz val="16"/>
      <color theme="1"/>
      <name val="Arial"/>
      <family val="2"/>
    </font>
    <font>
      <b/>
      <sz val="20"/>
      <color theme="1"/>
      <name val="Arial"/>
      <family val="2"/>
    </font>
    <font>
      <b/>
      <sz val="24"/>
      <color theme="0"/>
      <name val="Arial"/>
      <family val="2"/>
    </font>
    <font>
      <b/>
      <sz val="22"/>
      <color theme="0"/>
      <name val="Arial"/>
      <family val="2"/>
    </font>
    <font>
      <sz val="20"/>
      <name val="Arial"/>
      <family val="2"/>
    </font>
    <font>
      <b/>
      <sz val="11"/>
      <color theme="7" tint="-0.499984740745262"/>
      <name val="Arial"/>
      <family val="2"/>
    </font>
    <font>
      <b/>
      <sz val="11"/>
      <color theme="5" tint="-0.499984740745262"/>
      <name val="Arial"/>
      <family val="2"/>
    </font>
    <font>
      <b/>
      <sz val="10"/>
      <color theme="1"/>
      <name val="Arial"/>
      <family val="2"/>
    </font>
    <font>
      <b/>
      <u/>
      <sz val="11"/>
      <color theme="1"/>
      <name val="Arial"/>
      <family val="2"/>
    </font>
    <font>
      <b/>
      <sz val="11"/>
      <color rgb="FFFF0000"/>
      <name val="Arial"/>
      <family val="2"/>
    </font>
    <font>
      <b/>
      <sz val="10"/>
      <name val="Arial"/>
      <family val="2"/>
    </font>
    <font>
      <u/>
      <sz val="11"/>
      <color theme="10"/>
      <name val="Arial"/>
      <family val="2"/>
    </font>
    <font>
      <b/>
      <sz val="11"/>
      <color rgb="FF5F2C09"/>
      <name val="Arial"/>
      <family val="2"/>
    </font>
    <font>
      <b/>
      <sz val="12"/>
      <color theme="1"/>
      <name val="Arial"/>
      <family val="2"/>
    </font>
    <font>
      <b/>
      <u/>
      <sz val="14"/>
      <color theme="8" tint="-0.249977111117893"/>
      <name val="Arial"/>
      <family val="2"/>
    </font>
    <font>
      <sz val="11"/>
      <color theme="0"/>
      <name val="Arial"/>
      <family val="2"/>
    </font>
    <font>
      <b/>
      <sz val="16"/>
      <name val="Arial"/>
      <family val="2"/>
    </font>
    <font>
      <b/>
      <sz val="20"/>
      <color theme="0"/>
      <name val="Arial"/>
      <family val="2"/>
    </font>
    <font>
      <b/>
      <sz val="18"/>
      <color theme="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7"/>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ck">
        <color indexed="64"/>
      </bottom>
      <diagonal/>
    </border>
    <border>
      <left style="thin">
        <color indexed="64"/>
      </left>
      <right/>
      <top/>
      <bottom/>
      <diagonal/>
    </border>
  </borders>
  <cellStyleXfs count="3">
    <xf numFmtId="0" fontId="0" fillId="0" borderId="0"/>
    <xf numFmtId="0" fontId="2" fillId="0" borderId="0"/>
    <xf numFmtId="0" fontId="24" fillId="0" borderId="0" applyNumberFormat="0" applyFill="0" applyBorder="0" applyAlignment="0" applyProtection="0"/>
  </cellStyleXfs>
  <cellXfs count="568">
    <xf numFmtId="0" fontId="0" fillId="0" borderId="0" xfId="0"/>
    <xf numFmtId="0" fontId="3" fillId="0" borderId="0" xfId="0" applyFont="1"/>
    <xf numFmtId="0" fontId="4" fillId="0" borderId="0" xfId="0" applyFont="1" applyAlignment="1">
      <alignment wrapText="1"/>
    </xf>
    <xf numFmtId="0" fontId="3" fillId="0" borderId="0" xfId="0" applyFont="1" applyAlignment="1">
      <alignment wrapText="1"/>
    </xf>
    <xf numFmtId="0" fontId="3" fillId="0" borderId="0" xfId="0" applyFont="1" applyFill="1" applyAlignment="1">
      <alignment wrapText="1"/>
    </xf>
    <xf numFmtId="0" fontId="4" fillId="0" borderId="0" xfId="0" applyFont="1" applyFill="1" applyAlignment="1">
      <alignment wrapText="1"/>
    </xf>
    <xf numFmtId="0" fontId="3" fillId="0" borderId="0" xfId="0" applyFont="1" applyAlignment="1">
      <alignment horizontal="left" vertical="top" wrapText="1"/>
    </xf>
    <xf numFmtId="0" fontId="6" fillId="0" borderId="0" xfId="0" applyFont="1" applyAlignment="1">
      <alignment vertical="top"/>
    </xf>
    <xf numFmtId="0" fontId="4" fillId="0" borderId="30" xfId="0" applyFont="1" applyBorder="1" applyAlignment="1">
      <alignment horizontal="left" vertical="top" textRotation="90" wrapText="1"/>
    </xf>
    <xf numFmtId="0" fontId="4" fillId="0" borderId="33" xfId="0" applyFont="1" applyBorder="1" applyAlignment="1">
      <alignment horizontal="left" vertical="top" wrapText="1"/>
    </xf>
    <xf numFmtId="0" fontId="3" fillId="0" borderId="21" xfId="0" applyNumberFormat="1" applyFont="1" applyBorder="1" applyAlignment="1">
      <alignment horizontal="left" vertical="top" wrapText="1"/>
    </xf>
    <xf numFmtId="0" fontId="3" fillId="0" borderId="0" xfId="0" applyFont="1" applyBorder="1" applyAlignment="1">
      <alignment horizontal="left" vertical="top"/>
    </xf>
    <xf numFmtId="0" fontId="3" fillId="3" borderId="0" xfId="0" applyFont="1" applyFill="1" applyBorder="1" applyAlignment="1">
      <alignment horizontal="left" vertical="top" wrapText="1"/>
    </xf>
    <xf numFmtId="0" fontId="3" fillId="3" borderId="0" xfId="0" applyFont="1" applyFill="1"/>
    <xf numFmtId="0" fontId="3" fillId="3" borderId="0" xfId="0" applyFont="1" applyFill="1" applyBorder="1"/>
    <xf numFmtId="0" fontId="6" fillId="3" borderId="0" xfId="0" applyFont="1" applyFill="1" applyAlignment="1">
      <alignment horizontal="left" vertical="top"/>
    </xf>
    <xf numFmtId="0" fontId="3" fillId="3" borderId="0" xfId="0" applyFont="1" applyFill="1" applyAlignment="1">
      <alignment horizontal="left" vertical="top" wrapText="1"/>
    </xf>
    <xf numFmtId="0" fontId="3" fillId="3" borderId="0" xfId="0" applyFont="1" applyFill="1" applyAlignment="1">
      <alignment horizontal="left"/>
    </xf>
    <xf numFmtId="0" fontId="4" fillId="4" borderId="45" xfId="0" applyFont="1" applyFill="1" applyBorder="1" applyAlignment="1">
      <alignment horizontal="left" vertical="top"/>
    </xf>
    <xf numFmtId="0" fontId="4" fillId="4" borderId="12" xfId="0" applyFont="1" applyFill="1" applyBorder="1" applyAlignment="1">
      <alignment horizontal="left" vertical="top"/>
    </xf>
    <xf numFmtId="0" fontId="4" fillId="4" borderId="51" xfId="0" applyFont="1" applyFill="1" applyBorder="1" applyAlignment="1">
      <alignment horizontal="left" vertical="top"/>
    </xf>
    <xf numFmtId="0" fontId="3" fillId="3" borderId="11" xfId="0" applyFont="1" applyFill="1" applyBorder="1" applyAlignment="1">
      <alignment vertical="top" wrapText="1"/>
    </xf>
    <xf numFmtId="0" fontId="3" fillId="3" borderId="17" xfId="0" applyFont="1" applyFill="1" applyBorder="1" applyAlignment="1">
      <alignment horizontal="left" vertical="top" wrapText="1"/>
    </xf>
    <xf numFmtId="0" fontId="3" fillId="3" borderId="47" xfId="0" applyFont="1" applyFill="1" applyBorder="1" applyAlignment="1">
      <alignment horizontal="left" vertical="top" wrapText="1"/>
    </xf>
    <xf numFmtId="0" fontId="3" fillId="0" borderId="5" xfId="0" applyNumberFormat="1" applyFont="1" applyBorder="1" applyAlignment="1">
      <alignment horizontal="left" vertical="top" wrapText="1"/>
    </xf>
    <xf numFmtId="0" fontId="4" fillId="2" borderId="30" xfId="0" applyFont="1" applyFill="1" applyBorder="1" applyAlignment="1">
      <alignment horizontal="left" vertical="top" wrapText="1"/>
    </xf>
    <xf numFmtId="3" fontId="3" fillId="0" borderId="7" xfId="0" applyNumberFormat="1" applyFont="1" applyBorder="1" applyAlignment="1" applyProtection="1">
      <alignment horizontal="center" vertical="center" wrapText="1"/>
    </xf>
    <xf numFmtId="3" fontId="3" fillId="0" borderId="9" xfId="0" applyNumberFormat="1" applyFont="1" applyBorder="1" applyAlignment="1" applyProtection="1">
      <alignment horizontal="center" vertical="center" wrapText="1"/>
    </xf>
    <xf numFmtId="3" fontId="3" fillId="0" borderId="1" xfId="0" applyNumberFormat="1" applyFont="1" applyBorder="1" applyAlignment="1" applyProtection="1">
      <alignment horizontal="center" vertical="center" wrapText="1"/>
    </xf>
    <xf numFmtId="3" fontId="3" fillId="0" borderId="37" xfId="0" applyNumberFormat="1" applyFont="1" applyBorder="1" applyAlignment="1" applyProtection="1">
      <alignment horizontal="center" vertical="center" wrapText="1"/>
    </xf>
    <xf numFmtId="3" fontId="3" fillId="0" borderId="20" xfId="0" applyNumberFormat="1" applyFont="1" applyBorder="1" applyAlignment="1" applyProtection="1">
      <alignment horizontal="center" vertical="center" wrapText="1"/>
    </xf>
    <xf numFmtId="3" fontId="3" fillId="0" borderId="21" xfId="0" applyNumberFormat="1" applyFont="1" applyBorder="1" applyAlignment="1" applyProtection="1">
      <alignment horizontal="center" vertical="center" wrapText="1"/>
    </xf>
    <xf numFmtId="0" fontId="3" fillId="0" borderId="30" xfId="0" applyFont="1" applyFill="1" applyBorder="1" applyAlignment="1">
      <alignment horizontal="left" vertical="top" wrapText="1"/>
    </xf>
    <xf numFmtId="0" fontId="3" fillId="0" borderId="27" xfId="0" applyFont="1" applyBorder="1" applyAlignment="1">
      <alignment horizontal="left" vertical="top" wrapText="1"/>
    </xf>
    <xf numFmtId="0" fontId="3" fillId="0" borderId="30" xfId="0" applyNumberFormat="1" applyFont="1" applyBorder="1" applyAlignment="1">
      <alignment horizontal="left" vertical="top" wrapText="1"/>
    </xf>
    <xf numFmtId="0" fontId="3" fillId="0" borderId="29" xfId="0" applyNumberFormat="1" applyFont="1" applyBorder="1" applyAlignment="1">
      <alignment horizontal="left" vertical="top" wrapText="1"/>
    </xf>
    <xf numFmtId="3" fontId="3" fillId="0" borderId="32" xfId="0" applyNumberFormat="1" applyFont="1" applyBorder="1" applyAlignment="1" applyProtection="1">
      <alignment horizontal="center" vertical="center" wrapText="1"/>
    </xf>
    <xf numFmtId="3" fontId="3" fillId="0" borderId="39" xfId="0" applyNumberFormat="1" applyFont="1" applyBorder="1" applyAlignment="1" applyProtection="1">
      <alignment horizontal="center" vertical="center" wrapText="1"/>
    </xf>
    <xf numFmtId="0" fontId="3" fillId="0" borderId="24" xfId="0" applyNumberFormat="1" applyFont="1" applyBorder="1" applyAlignment="1">
      <alignment horizontal="left" vertical="top" wrapText="1"/>
    </xf>
    <xf numFmtId="3" fontId="3" fillId="0" borderId="31" xfId="0" applyNumberFormat="1" applyFont="1" applyBorder="1" applyAlignment="1" applyProtection="1">
      <alignment horizontal="center" vertical="center" wrapText="1"/>
    </xf>
    <xf numFmtId="3" fontId="3" fillId="0" borderId="22" xfId="0" applyNumberFormat="1" applyFont="1" applyBorder="1" applyAlignment="1" applyProtection="1">
      <alignment horizontal="center" vertical="center" wrapText="1"/>
    </xf>
    <xf numFmtId="3" fontId="3" fillId="0" borderId="24" xfId="0" applyNumberFormat="1" applyFont="1" applyBorder="1" applyAlignment="1" applyProtection="1">
      <alignment horizontal="center" vertical="center" wrapText="1"/>
    </xf>
    <xf numFmtId="0" fontId="3" fillId="0" borderId="26" xfId="0" applyFont="1" applyBorder="1" applyAlignment="1">
      <alignment horizontal="left" vertical="top" wrapText="1"/>
    </xf>
    <xf numFmtId="3" fontId="3" fillId="0" borderId="29" xfId="0" applyNumberFormat="1" applyFont="1" applyBorder="1" applyAlignment="1" applyProtection="1">
      <alignment horizontal="center" vertical="center" wrapText="1"/>
    </xf>
    <xf numFmtId="0" fontId="3" fillId="0" borderId="57" xfId="0" applyNumberFormat="1" applyFont="1" applyBorder="1" applyAlignment="1">
      <alignment horizontal="left" vertical="top" wrapText="1"/>
    </xf>
    <xf numFmtId="3" fontId="3" fillId="0" borderId="28" xfId="0" applyNumberFormat="1" applyFont="1" applyBorder="1" applyAlignment="1" applyProtection="1">
      <alignment horizontal="center" vertical="center" wrapText="1"/>
    </xf>
    <xf numFmtId="3" fontId="3" fillId="0" borderId="57" xfId="0" applyNumberFormat="1" applyFont="1" applyBorder="1" applyAlignment="1" applyProtection="1">
      <alignment horizontal="center" vertical="center" wrapText="1"/>
    </xf>
    <xf numFmtId="3" fontId="3" fillId="0" borderId="26" xfId="0" applyNumberFormat="1" applyFont="1" applyBorder="1" applyAlignment="1" applyProtection="1">
      <alignment horizontal="center" vertical="center" wrapText="1"/>
    </xf>
    <xf numFmtId="3" fontId="3" fillId="0" borderId="55" xfId="0" applyNumberFormat="1" applyFont="1" applyBorder="1" applyAlignment="1" applyProtection="1">
      <alignment horizontal="center" vertical="center" wrapText="1"/>
    </xf>
    <xf numFmtId="0" fontId="3" fillId="0" borderId="30" xfId="0" applyNumberFormat="1" applyFont="1" applyFill="1" applyBorder="1" applyAlignment="1">
      <alignment horizontal="left" vertical="top" wrapText="1"/>
    </xf>
    <xf numFmtId="0" fontId="3" fillId="0" borderId="29" xfId="0" applyNumberFormat="1" applyFont="1" applyFill="1" applyBorder="1" applyAlignment="1">
      <alignment horizontal="left" vertical="top" wrapText="1"/>
    </xf>
    <xf numFmtId="0" fontId="3" fillId="0" borderId="30" xfId="0" applyFont="1" applyBorder="1"/>
    <xf numFmtId="0" fontId="3" fillId="2" borderId="29" xfId="0" applyNumberFormat="1" applyFont="1" applyFill="1" applyBorder="1" applyAlignment="1">
      <alignment wrapText="1"/>
    </xf>
    <xf numFmtId="0" fontId="3" fillId="2" borderId="39" xfId="0" applyNumberFormat="1" applyFont="1" applyFill="1" applyBorder="1" applyAlignment="1">
      <alignment wrapText="1"/>
    </xf>
    <xf numFmtId="0" fontId="3" fillId="2" borderId="29" xfId="0" applyNumberFormat="1" applyFont="1" applyFill="1" applyBorder="1"/>
    <xf numFmtId="0" fontId="3" fillId="2" borderId="39" xfId="0" applyNumberFormat="1" applyFont="1" applyFill="1" applyBorder="1"/>
    <xf numFmtId="0" fontId="5" fillId="2" borderId="30" xfId="0" applyNumberFormat="1" applyFont="1" applyFill="1" applyBorder="1" applyAlignment="1">
      <alignment horizontal="left" vertical="top" wrapText="1"/>
    </xf>
    <xf numFmtId="0" fontId="3" fillId="2" borderId="29" xfId="0" applyNumberFormat="1" applyFont="1" applyFill="1" applyBorder="1" applyAlignment="1">
      <alignment horizontal="left" vertical="top"/>
    </xf>
    <xf numFmtId="0" fontId="3" fillId="2" borderId="39" xfId="0" applyNumberFormat="1" applyFont="1" applyFill="1" applyBorder="1" applyAlignment="1">
      <alignment horizontal="left" vertical="top"/>
    </xf>
    <xf numFmtId="0" fontId="3" fillId="2" borderId="32" xfId="0" applyNumberFormat="1" applyFont="1" applyFill="1" applyBorder="1"/>
    <xf numFmtId="0" fontId="3" fillId="2" borderId="19" xfId="0" applyNumberFormat="1" applyFont="1" applyFill="1" applyBorder="1" applyAlignment="1">
      <alignment wrapText="1"/>
    </xf>
    <xf numFmtId="3" fontId="3" fillId="0" borderId="19" xfId="0" applyNumberFormat="1" applyFont="1" applyBorder="1" applyAlignment="1" applyProtection="1">
      <alignment horizontal="center" vertical="center" wrapText="1"/>
    </xf>
    <xf numFmtId="0" fontId="3" fillId="2" borderId="19" xfId="0" applyNumberFormat="1" applyFont="1" applyFill="1" applyBorder="1" applyAlignment="1">
      <alignment horizontal="left" vertical="top"/>
    </xf>
    <xf numFmtId="3" fontId="3" fillId="0" borderId="60" xfId="0" applyNumberFormat="1" applyFont="1" applyBorder="1" applyAlignment="1" applyProtection="1">
      <alignment horizontal="center" vertical="center" wrapText="1"/>
    </xf>
    <xf numFmtId="3" fontId="3" fillId="0" borderId="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4" fillId="2" borderId="1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9" xfId="0" applyFont="1" applyFill="1" applyBorder="1" applyAlignment="1">
      <alignment horizontal="center" vertical="center" wrapText="1"/>
    </xf>
    <xf numFmtId="3" fontId="3" fillId="0" borderId="11" xfId="0" applyNumberFormat="1" applyFont="1" applyBorder="1" applyAlignment="1" applyProtection="1">
      <alignment horizontal="center" vertical="center" wrapText="1"/>
    </xf>
    <xf numFmtId="3" fontId="3" fillId="0" borderId="43" xfId="0" applyNumberFormat="1" applyFont="1" applyBorder="1" applyAlignment="1" applyProtection="1">
      <alignment horizontal="center" vertical="center" wrapText="1"/>
    </xf>
    <xf numFmtId="0" fontId="3" fillId="0" borderId="30" xfId="0" applyFont="1" applyFill="1" applyBorder="1" applyAlignment="1">
      <alignment vertical="top"/>
    </xf>
    <xf numFmtId="0" fontId="4" fillId="2" borderId="33" xfId="0" applyFont="1" applyFill="1" applyBorder="1" applyAlignment="1">
      <alignment horizontal="center" vertical="center" wrapText="1"/>
    </xf>
    <xf numFmtId="0" fontId="4" fillId="2" borderId="30" xfId="0" applyFont="1" applyFill="1" applyBorder="1" applyAlignment="1">
      <alignment horizontal="center" vertical="center" wrapText="1"/>
    </xf>
    <xf numFmtId="3" fontId="3" fillId="0" borderId="27" xfId="0" applyNumberFormat="1" applyFont="1" applyBorder="1" applyAlignment="1" applyProtection="1">
      <alignment horizontal="center" vertical="center" wrapText="1"/>
    </xf>
    <xf numFmtId="3" fontId="3" fillId="0" borderId="52" xfId="0" applyNumberFormat="1" applyFont="1" applyBorder="1" applyAlignment="1" applyProtection="1">
      <alignment horizontal="center" vertical="center" wrapText="1"/>
    </xf>
    <xf numFmtId="3" fontId="3" fillId="0" borderId="2" xfId="0" applyNumberFormat="1" applyFont="1" applyBorder="1" applyAlignment="1" applyProtection="1">
      <alignment horizontal="center" vertical="center" wrapText="1"/>
    </xf>
    <xf numFmtId="3" fontId="3" fillId="0" borderId="53" xfId="0" applyNumberFormat="1" applyFont="1" applyBorder="1" applyAlignment="1" applyProtection="1">
      <alignment horizontal="center" vertical="center" wrapText="1"/>
    </xf>
    <xf numFmtId="3" fontId="3" fillId="0" borderId="33" xfId="0" applyNumberFormat="1" applyFont="1" applyBorder="1" applyAlignment="1" applyProtection="1">
      <alignment horizontal="center" vertical="center" wrapText="1"/>
    </xf>
    <xf numFmtId="3" fontId="3" fillId="0" borderId="61" xfId="0" applyNumberFormat="1" applyFont="1" applyBorder="1" applyAlignment="1" applyProtection="1">
      <alignment horizontal="center" vertical="center" wrapText="1"/>
    </xf>
    <xf numFmtId="3" fontId="3" fillId="0" borderId="30" xfId="0" applyNumberFormat="1" applyFont="1" applyBorder="1" applyAlignment="1" applyProtection="1">
      <alignment horizontal="center" vertical="center" wrapText="1"/>
    </xf>
    <xf numFmtId="3" fontId="3" fillId="0" borderId="45" xfId="0" applyNumberFormat="1" applyFont="1" applyBorder="1" applyAlignment="1" applyProtection="1">
      <alignment horizontal="center" vertical="center" wrapText="1"/>
    </xf>
    <xf numFmtId="3" fontId="3" fillId="0" borderId="12" xfId="0" applyNumberFormat="1" applyFont="1" applyBorder="1" applyAlignment="1" applyProtection="1">
      <alignment horizontal="center" vertical="center" wrapText="1"/>
    </xf>
    <xf numFmtId="3" fontId="3" fillId="0" borderId="44" xfId="0" applyNumberFormat="1" applyFont="1" applyBorder="1" applyAlignment="1" applyProtection="1">
      <alignment horizontal="center" vertical="center" wrapText="1"/>
    </xf>
    <xf numFmtId="3" fontId="3" fillId="0" borderId="56" xfId="0" applyNumberFormat="1" applyFont="1" applyBorder="1" applyAlignment="1" applyProtection="1">
      <alignment horizontal="center" vertical="center" wrapText="1"/>
    </xf>
    <xf numFmtId="0" fontId="3" fillId="2" borderId="33" xfId="0" applyNumberFormat="1" applyFont="1" applyFill="1" applyBorder="1"/>
    <xf numFmtId="0" fontId="3" fillId="2" borderId="30" xfId="0" applyNumberFormat="1" applyFont="1" applyFill="1" applyBorder="1"/>
    <xf numFmtId="3" fontId="3" fillId="0" borderId="0" xfId="0" applyNumberFormat="1" applyFont="1" applyBorder="1" applyAlignment="1" applyProtection="1">
      <alignment horizontal="center" vertical="center" wrapText="1"/>
    </xf>
    <xf numFmtId="3" fontId="3" fillId="0" borderId="13" xfId="0" applyNumberFormat="1" applyFont="1" applyBorder="1" applyAlignment="1" applyProtection="1">
      <alignment horizontal="center" vertical="center" wrapText="1"/>
    </xf>
    <xf numFmtId="0" fontId="3" fillId="0" borderId="0" xfId="0" applyFont="1" applyFill="1"/>
    <xf numFmtId="3" fontId="3" fillId="0" borderId="9" xfId="0" applyNumberFormat="1" applyFont="1" applyBorder="1" applyAlignment="1" applyProtection="1">
      <alignment horizontal="left" vertical="top" wrapText="1"/>
      <protection locked="0"/>
    </xf>
    <xf numFmtId="0" fontId="7" fillId="0" borderId="0" xfId="0" applyFont="1" applyFill="1" applyAlignment="1">
      <alignment vertical="top"/>
    </xf>
    <xf numFmtId="0" fontId="4" fillId="0" borderId="0" xfId="0" applyFont="1"/>
    <xf numFmtId="3" fontId="3" fillId="3" borderId="11" xfId="0" applyNumberFormat="1" applyFont="1" applyFill="1" applyBorder="1" applyAlignment="1">
      <alignment horizontal="center" vertical="center"/>
    </xf>
    <xf numFmtId="3" fontId="3" fillId="3" borderId="43" xfId="0" applyNumberFormat="1" applyFont="1" applyFill="1" applyBorder="1" applyAlignment="1" applyProtection="1">
      <alignment horizontal="center" vertical="center"/>
      <protection locked="0"/>
    </xf>
    <xf numFmtId="3" fontId="3" fillId="3" borderId="5" xfId="0" applyNumberFormat="1" applyFont="1" applyFill="1" applyBorder="1" applyAlignment="1" applyProtection="1">
      <alignment horizontal="center" vertical="center"/>
      <protection locked="0"/>
    </xf>
    <xf numFmtId="3" fontId="3" fillId="3" borderId="36" xfId="0" applyNumberFormat="1" applyFont="1" applyFill="1" applyBorder="1" applyAlignment="1" applyProtection="1">
      <alignment horizontal="center" vertical="center"/>
      <protection locked="0"/>
    </xf>
    <xf numFmtId="3" fontId="3" fillId="3" borderId="19"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8" xfId="0" applyNumberFormat="1" applyFont="1" applyFill="1" applyBorder="1" applyAlignment="1">
      <alignment horizontal="center" vertical="center"/>
    </xf>
    <xf numFmtId="3" fontId="3" fillId="3" borderId="7" xfId="0" applyNumberFormat="1" applyFont="1" applyFill="1" applyBorder="1" applyAlignment="1" applyProtection="1">
      <alignment horizontal="center" vertical="center"/>
      <protection locked="0"/>
    </xf>
    <xf numFmtId="3" fontId="3" fillId="3" borderId="1" xfId="0" applyNumberFormat="1" applyFont="1" applyFill="1" applyBorder="1" applyAlignment="1" applyProtection="1">
      <alignment horizontal="center" vertical="center"/>
      <protection locked="0"/>
    </xf>
    <xf numFmtId="3" fontId="3" fillId="3" borderId="9" xfId="0" applyNumberFormat="1" applyFont="1" applyFill="1" applyBorder="1" applyAlignment="1" applyProtection="1">
      <alignment horizontal="center" vertical="center"/>
      <protection locked="0"/>
    </xf>
    <xf numFmtId="3" fontId="3" fillId="3" borderId="38" xfId="0" applyNumberFormat="1" applyFont="1" applyFill="1" applyBorder="1" applyAlignment="1">
      <alignment horizontal="center" vertical="center"/>
    </xf>
    <xf numFmtId="3" fontId="3" fillId="3" borderId="35" xfId="0" applyNumberFormat="1" applyFont="1" applyFill="1" applyBorder="1" applyAlignment="1" applyProtection="1">
      <alignment horizontal="center" vertical="center"/>
      <protection locked="0"/>
    </xf>
    <xf numFmtId="3" fontId="3" fillId="3" borderId="4" xfId="0" applyNumberFormat="1" applyFont="1" applyFill="1" applyBorder="1" applyAlignment="1" applyProtection="1">
      <alignment horizontal="center" vertical="center"/>
      <protection locked="0"/>
    </xf>
    <xf numFmtId="3" fontId="3" fillId="3" borderId="10" xfId="0" applyNumberFormat="1" applyFont="1" applyFill="1" applyBorder="1" applyAlignment="1" applyProtection="1">
      <alignment horizontal="center" vertical="center"/>
      <protection locked="0"/>
    </xf>
    <xf numFmtId="3" fontId="3" fillId="3" borderId="34" xfId="0" applyNumberFormat="1" applyFont="1" applyFill="1" applyBorder="1" applyAlignment="1">
      <alignment horizontal="center" vertical="center"/>
    </xf>
    <xf numFmtId="3" fontId="3" fillId="3" borderId="29" xfId="0" applyNumberFormat="1" applyFont="1" applyFill="1" applyBorder="1" applyAlignment="1" applyProtection="1">
      <alignment horizontal="center" vertical="center"/>
    </xf>
    <xf numFmtId="3" fontId="3" fillId="3" borderId="39" xfId="0" applyNumberFormat="1" applyFont="1" applyFill="1" applyBorder="1" applyAlignment="1" applyProtection="1">
      <alignment horizontal="center" vertical="center"/>
    </xf>
    <xf numFmtId="3" fontId="3" fillId="3" borderId="56" xfId="0" applyNumberFormat="1" applyFont="1" applyFill="1" applyBorder="1" applyAlignment="1" applyProtection="1">
      <alignment horizontal="center" vertical="center"/>
    </xf>
    <xf numFmtId="3" fontId="3" fillId="3" borderId="28" xfId="0" applyNumberFormat="1" applyFont="1" applyFill="1" applyBorder="1" applyAlignment="1" applyProtection="1">
      <alignment horizontal="center" vertical="center"/>
    </xf>
    <xf numFmtId="3" fontId="3" fillId="3" borderId="57" xfId="0" applyNumberFormat="1" applyFont="1" applyFill="1" applyBorder="1" applyAlignment="1" applyProtection="1">
      <alignment horizontal="center" vertical="center"/>
    </xf>
    <xf numFmtId="49" fontId="17" fillId="0" borderId="1" xfId="0" applyNumberFormat="1" applyFont="1" applyBorder="1" applyAlignment="1">
      <alignment vertical="top"/>
    </xf>
    <xf numFmtId="14" fontId="10" fillId="0" borderId="1" xfId="0" applyNumberFormat="1" applyFont="1" applyBorder="1" applyAlignment="1" applyProtection="1">
      <alignment vertical="center"/>
      <protection locked="0"/>
    </xf>
    <xf numFmtId="3" fontId="3" fillId="3" borderId="34" xfId="0" applyNumberFormat="1" applyFont="1" applyFill="1" applyBorder="1" applyAlignment="1">
      <alignment horizontal="center" vertical="center"/>
    </xf>
    <xf numFmtId="3" fontId="3" fillId="3" borderId="28" xfId="0" applyNumberFormat="1" applyFont="1" applyFill="1" applyBorder="1" applyAlignment="1" applyProtection="1">
      <alignment horizontal="center" vertical="center"/>
      <protection locked="0"/>
    </xf>
    <xf numFmtId="3" fontId="3" fillId="3" borderId="57" xfId="0" applyNumberFormat="1"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1" fillId="0" borderId="0" xfId="0" applyFont="1"/>
    <xf numFmtId="0" fontId="0" fillId="11" borderId="1" xfId="0" applyFill="1" applyBorder="1"/>
    <xf numFmtId="0" fontId="1" fillId="11" borderId="1" xfId="0" applyFont="1" applyFill="1" applyBorder="1"/>
    <xf numFmtId="0" fontId="1" fillId="12" borderId="1" xfId="0" applyFont="1" applyFill="1" applyBorder="1"/>
    <xf numFmtId="0" fontId="0" fillId="12" borderId="1" xfId="0" applyFill="1" applyBorder="1"/>
    <xf numFmtId="3" fontId="3" fillId="3" borderId="56" xfId="0" applyNumberFormat="1" applyFont="1" applyFill="1" applyBorder="1" applyAlignment="1" applyProtection="1">
      <alignment horizontal="center" vertical="center"/>
      <protection locked="0"/>
    </xf>
    <xf numFmtId="3" fontId="3" fillId="3" borderId="61" xfId="0" applyNumberFormat="1" applyFont="1" applyFill="1" applyBorder="1" applyAlignment="1" applyProtection="1">
      <alignment horizontal="center" vertical="center"/>
      <protection locked="0"/>
    </xf>
    <xf numFmtId="49" fontId="19" fillId="11" borderId="39" xfId="0" applyNumberFormat="1" applyFont="1" applyFill="1" applyBorder="1" applyAlignment="1" applyProtection="1">
      <alignment horizontal="center" vertical="center" wrapText="1"/>
      <protection locked="0"/>
    </xf>
    <xf numFmtId="3" fontId="19" fillId="11" borderId="40" xfId="0" applyNumberFormat="1" applyFont="1" applyFill="1" applyBorder="1" applyAlignment="1" applyProtection="1">
      <alignment horizontal="center" vertical="center"/>
      <protection locked="0"/>
    </xf>
    <xf numFmtId="3" fontId="19" fillId="11" borderId="19" xfId="0" applyNumberFormat="1" applyFont="1" applyFill="1" applyBorder="1" applyAlignment="1" applyProtection="1">
      <alignment horizontal="center" vertical="center"/>
      <protection locked="0"/>
    </xf>
    <xf numFmtId="3" fontId="0" fillId="5" borderId="14" xfId="0" applyNumberFormat="1" applyFill="1" applyBorder="1"/>
    <xf numFmtId="3" fontId="0" fillId="5" borderId="6" xfId="0" applyNumberFormat="1" applyFill="1" applyBorder="1"/>
    <xf numFmtId="3" fontId="0" fillId="5" borderId="58" xfId="0" applyNumberFormat="1" applyFill="1" applyBorder="1"/>
    <xf numFmtId="3" fontId="0" fillId="5" borderId="12" xfId="0" applyNumberFormat="1" applyFill="1" applyBorder="1"/>
    <xf numFmtId="3" fontId="0" fillId="5" borderId="1" xfId="0" applyNumberFormat="1" applyFill="1" applyBorder="1"/>
    <xf numFmtId="14" fontId="0" fillId="0" borderId="15" xfId="0" applyNumberFormat="1" applyBorder="1"/>
    <xf numFmtId="0" fontId="0" fillId="0" borderId="8" xfId="0" applyBorder="1"/>
    <xf numFmtId="0" fontId="0" fillId="0" borderId="0" xfId="0" applyAlignment="1">
      <alignment horizontal="left" vertical="center"/>
    </xf>
    <xf numFmtId="0" fontId="3" fillId="3" borderId="19" xfId="0" applyFont="1" applyFill="1" applyBorder="1" applyAlignment="1">
      <alignment vertical="top" wrapText="1"/>
    </xf>
    <xf numFmtId="0" fontId="3" fillId="2" borderId="39" xfId="0" applyNumberFormat="1" applyFont="1" applyFill="1" applyBorder="1" applyAlignment="1">
      <alignment horizontal="left" vertical="top" wrapText="1"/>
    </xf>
    <xf numFmtId="0" fontId="3" fillId="2" borderId="59" xfId="0" applyNumberFormat="1" applyFont="1" applyFill="1" applyBorder="1" applyAlignment="1">
      <alignment horizontal="left" vertical="top" wrapText="1"/>
    </xf>
    <xf numFmtId="49" fontId="19" fillId="11" borderId="30" xfId="0" applyNumberFormat="1" applyFont="1" applyFill="1" applyBorder="1" applyAlignment="1" applyProtection="1">
      <alignment horizontal="center" vertical="center" wrapText="1"/>
      <protection locked="0"/>
    </xf>
    <xf numFmtId="49" fontId="19" fillId="11" borderId="29" xfId="0" applyNumberFormat="1" applyFont="1" applyFill="1" applyBorder="1" applyAlignment="1" applyProtection="1">
      <alignment horizontal="center" vertical="center" wrapText="1"/>
      <protection locked="0"/>
    </xf>
    <xf numFmtId="49" fontId="19" fillId="11" borderId="26" xfId="0" applyNumberFormat="1" applyFont="1" applyFill="1" applyBorder="1" applyAlignment="1" applyProtection="1">
      <alignment horizontal="center" vertical="center" wrapText="1"/>
      <protection locked="0"/>
    </xf>
    <xf numFmtId="0" fontId="4" fillId="4" borderId="19"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3" xfId="0" applyNumberFormat="1"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23" xfId="0" applyNumberFormat="1" applyFont="1" applyFill="1" applyBorder="1" applyAlignment="1">
      <alignment horizontal="left" vertical="center" wrapText="1"/>
    </xf>
    <xf numFmtId="0" fontId="4" fillId="4" borderId="39" xfId="0" applyFont="1" applyFill="1" applyBorder="1" applyAlignment="1">
      <alignment horizontal="center" vertical="center" wrapText="1"/>
    </xf>
    <xf numFmtId="0" fontId="3" fillId="3" borderId="0" xfId="0" applyFont="1" applyFill="1" applyProtection="1"/>
    <xf numFmtId="1" fontId="3" fillId="3" borderId="0" xfId="0" applyNumberFormat="1" applyFont="1" applyFill="1" applyBorder="1" applyAlignment="1" applyProtection="1">
      <alignment horizontal="center" vertical="center"/>
    </xf>
    <xf numFmtId="0" fontId="3" fillId="3" borderId="0" xfId="0" applyFont="1" applyFill="1" applyBorder="1" applyAlignment="1" applyProtection="1">
      <alignment horizontal="left" vertical="top" wrapText="1"/>
    </xf>
    <xf numFmtId="0" fontId="4" fillId="4" borderId="63" xfId="0" applyFont="1" applyFill="1" applyBorder="1" applyAlignment="1">
      <alignment horizontal="left" vertical="top"/>
    </xf>
    <xf numFmtId="0" fontId="4" fillId="4" borderId="65" xfId="0" applyFont="1" applyFill="1" applyBorder="1" applyAlignment="1">
      <alignment horizontal="left" vertical="top"/>
    </xf>
    <xf numFmtId="0" fontId="4" fillId="4" borderId="62" xfId="0" applyFont="1" applyFill="1" applyBorder="1" applyAlignment="1">
      <alignment horizontal="left" vertical="top"/>
    </xf>
    <xf numFmtId="0" fontId="4" fillId="4" borderId="69" xfId="0" applyFont="1" applyFill="1" applyBorder="1" applyAlignment="1">
      <alignment horizontal="left" vertical="top"/>
    </xf>
    <xf numFmtId="0" fontId="4" fillId="4" borderId="18" xfId="0" applyFont="1" applyFill="1" applyBorder="1" applyAlignment="1">
      <alignment horizontal="center" vertical="center" wrapText="1"/>
    </xf>
    <xf numFmtId="0" fontId="4" fillId="4" borderId="19" xfId="0" applyNumberFormat="1" applyFont="1" applyFill="1" applyBorder="1" applyAlignment="1">
      <alignment horizontal="left" vertical="center" wrapText="1"/>
    </xf>
    <xf numFmtId="3" fontId="3" fillId="3" borderId="70" xfId="0" applyNumberFormat="1" applyFont="1" applyFill="1" applyBorder="1" applyAlignment="1">
      <alignment horizontal="center" vertical="center"/>
    </xf>
    <xf numFmtId="3" fontId="3" fillId="3" borderId="32" xfId="0" applyNumberFormat="1" applyFont="1" applyFill="1" applyBorder="1" applyAlignment="1" applyProtection="1">
      <alignment horizontal="center" vertical="center"/>
    </xf>
    <xf numFmtId="0" fontId="0" fillId="11" borderId="1" xfId="0" quotePrefix="1" applyFill="1" applyBorder="1"/>
    <xf numFmtId="49" fontId="0" fillId="12" borderId="1" xfId="0" applyNumberFormat="1" applyFill="1" applyBorder="1"/>
    <xf numFmtId="0" fontId="22" fillId="0" borderId="0" xfId="0" applyFont="1"/>
    <xf numFmtId="3" fontId="0" fillId="0" borderId="0" xfId="0" applyNumberFormat="1"/>
    <xf numFmtId="3" fontId="3" fillId="3" borderId="0" xfId="0" applyNumberFormat="1" applyFont="1" applyFill="1"/>
    <xf numFmtId="3" fontId="0" fillId="5" borderId="67" xfId="0" applyNumberFormat="1" applyFill="1" applyBorder="1"/>
    <xf numFmtId="0" fontId="1" fillId="13" borderId="20" xfId="0" applyFont="1" applyFill="1" applyBorder="1"/>
    <xf numFmtId="0" fontId="1" fillId="13" borderId="44" xfId="0" applyFont="1" applyFill="1" applyBorder="1"/>
    <xf numFmtId="0" fontId="1" fillId="13" borderId="21" xfId="0" applyFont="1" applyFill="1" applyBorder="1"/>
    <xf numFmtId="0" fontId="0" fillId="0" borderId="68" xfId="0" applyBorder="1"/>
    <xf numFmtId="0" fontId="1" fillId="0" borderId="8" xfId="0" applyFont="1" applyBorder="1"/>
    <xf numFmtId="14" fontId="1" fillId="0" borderId="15" xfId="0" applyNumberFormat="1" applyFont="1" applyBorder="1"/>
    <xf numFmtId="3" fontId="1" fillId="5" borderId="14" xfId="0" applyNumberFormat="1" applyFont="1" applyFill="1" applyBorder="1"/>
    <xf numFmtId="3" fontId="1" fillId="5" borderId="6" xfId="0" applyNumberFormat="1" applyFont="1" applyFill="1" applyBorder="1"/>
    <xf numFmtId="0" fontId="1" fillId="0" borderId="68" xfId="0" applyFont="1" applyBorder="1"/>
    <xf numFmtId="0" fontId="3" fillId="0" borderId="0" xfId="0" applyFont="1" applyProtection="1"/>
    <xf numFmtId="0" fontId="4" fillId="0" borderId="0" xfId="0" applyFont="1" applyProtection="1"/>
    <xf numFmtId="0" fontId="8" fillId="0" borderId="0" xfId="0" applyFont="1" applyFill="1" applyAlignment="1" applyProtection="1">
      <alignment horizontal="left" vertical="top"/>
    </xf>
    <xf numFmtId="0" fontId="6" fillId="0" borderId="0" xfId="0" applyFont="1" applyFill="1" applyAlignment="1" applyProtection="1">
      <alignment horizontal="left" vertical="top"/>
    </xf>
    <xf numFmtId="0" fontId="4" fillId="2" borderId="29" xfId="0" applyFont="1" applyFill="1" applyBorder="1" applyAlignment="1" applyProtection="1">
      <alignment horizontal="left" vertical="top" wrapText="1"/>
    </xf>
    <xf numFmtId="0" fontId="3" fillId="0" borderId="0" xfId="0" applyFont="1" applyFill="1" applyBorder="1" applyProtection="1"/>
    <xf numFmtId="0" fontId="3" fillId="0" borderId="30" xfId="0" applyFont="1" applyBorder="1" applyProtection="1">
      <protection locked="0"/>
    </xf>
    <xf numFmtId="0" fontId="3" fillId="0" borderId="27" xfId="0" applyFont="1" applyBorder="1" applyProtection="1">
      <protection locked="0"/>
    </xf>
    <xf numFmtId="0" fontId="5" fillId="2" borderId="30" xfId="0" applyFont="1" applyFill="1" applyBorder="1" applyAlignment="1" applyProtection="1">
      <alignment horizontal="left" vertical="top" wrapText="1"/>
      <protection locked="0"/>
    </xf>
    <xf numFmtId="0" fontId="3" fillId="2" borderId="29" xfId="0" applyFont="1" applyFill="1" applyBorder="1" applyAlignment="1" applyProtection="1">
      <alignment vertical="top"/>
      <protection locked="0"/>
    </xf>
    <xf numFmtId="0" fontId="3" fillId="2" borderId="39" xfId="0" applyFont="1" applyFill="1" applyBorder="1" applyAlignment="1" applyProtection="1">
      <alignment vertical="top"/>
      <protection locked="0"/>
    </xf>
    <xf numFmtId="0" fontId="3" fillId="2" borderId="29" xfId="0" applyFont="1" applyFill="1" applyBorder="1" applyProtection="1">
      <protection locked="0"/>
    </xf>
    <xf numFmtId="0" fontId="3" fillId="2" borderId="33" xfId="0" applyFont="1" applyFill="1" applyBorder="1" applyProtection="1">
      <protection locked="0"/>
    </xf>
    <xf numFmtId="0" fontId="3" fillId="2" borderId="30" xfId="0" applyFont="1" applyFill="1" applyBorder="1" applyProtection="1">
      <protection locked="0"/>
    </xf>
    <xf numFmtId="0" fontId="3" fillId="2" borderId="39" xfId="0" applyFont="1" applyFill="1" applyBorder="1" applyProtection="1">
      <protection locked="0"/>
    </xf>
    <xf numFmtId="0" fontId="3" fillId="0" borderId="0" xfId="0" applyFont="1" applyProtection="1">
      <protection locked="0"/>
    </xf>
    <xf numFmtId="0" fontId="23" fillId="2" borderId="30" xfId="0" applyFont="1" applyFill="1" applyBorder="1" applyAlignment="1" applyProtection="1">
      <alignment horizontal="center" vertical="center" wrapText="1"/>
      <protection locked="0"/>
    </xf>
    <xf numFmtId="0" fontId="23" fillId="2" borderId="39" xfId="0" applyFont="1" applyFill="1" applyBorder="1" applyAlignment="1" applyProtection="1">
      <alignment horizontal="center" vertical="center" wrapText="1"/>
      <protection locked="0"/>
    </xf>
    <xf numFmtId="0" fontId="3" fillId="0" borderId="24" xfId="0" applyNumberFormat="1" applyFont="1" applyFill="1" applyBorder="1" applyAlignment="1">
      <alignment horizontal="left" vertical="top" wrapText="1"/>
    </xf>
    <xf numFmtId="0" fontId="3" fillId="0" borderId="9" xfId="0" applyNumberFormat="1" applyFont="1" applyFill="1" applyBorder="1" applyAlignment="1">
      <alignment horizontal="left" vertical="top" wrapText="1"/>
    </xf>
    <xf numFmtId="0" fontId="3" fillId="0" borderId="21" xfId="0" applyNumberFormat="1" applyFont="1" applyFill="1" applyBorder="1" applyAlignment="1">
      <alignment horizontal="left" vertical="top" wrapText="1"/>
    </xf>
    <xf numFmtId="0" fontId="0" fillId="0" borderId="0" xfId="0" applyProtection="1"/>
    <xf numFmtId="0" fontId="12" fillId="2" borderId="42" xfId="0" applyFont="1" applyFill="1" applyBorder="1" applyProtection="1"/>
    <xf numFmtId="0" fontId="12" fillId="0" borderId="0" xfId="0" applyFont="1" applyAlignment="1" applyProtection="1"/>
    <xf numFmtId="14" fontId="0" fillId="0" borderId="0" xfId="0" applyNumberFormat="1" applyProtection="1"/>
    <xf numFmtId="49" fontId="13" fillId="0" borderId="38" xfId="0" applyNumberFormat="1" applyFont="1" applyBorder="1" applyAlignment="1" applyProtection="1">
      <alignment vertical="top" wrapText="1"/>
    </xf>
    <xf numFmtId="49" fontId="13" fillId="0" borderId="19" xfId="0" applyNumberFormat="1" applyFont="1" applyBorder="1" applyAlignment="1" applyProtection="1">
      <alignment vertical="top" wrapText="1"/>
    </xf>
    <xf numFmtId="0" fontId="14" fillId="7" borderId="19" xfId="0" applyFont="1" applyFill="1" applyBorder="1" applyAlignment="1" applyProtection="1"/>
    <xf numFmtId="1" fontId="9" fillId="10" borderId="8" xfId="0" applyNumberFormat="1" applyFont="1" applyFill="1" applyBorder="1" applyAlignment="1" applyProtection="1">
      <alignment horizontal="center" vertical="center"/>
    </xf>
    <xf numFmtId="1" fontId="9" fillId="9" borderId="8" xfId="0" applyNumberFormat="1" applyFont="1" applyFill="1" applyBorder="1" applyAlignment="1" applyProtection="1">
      <alignment horizontal="center" vertical="center"/>
    </xf>
    <xf numFmtId="0" fontId="3" fillId="0" borderId="27" xfId="0" applyFont="1" applyFill="1" applyBorder="1" applyAlignment="1">
      <alignment wrapText="1"/>
    </xf>
    <xf numFmtId="0" fontId="3" fillId="0" borderId="0" xfId="0" applyFont="1" applyBorder="1"/>
    <xf numFmtId="0" fontId="0" fillId="0" borderId="0" xfId="0" applyFill="1"/>
    <xf numFmtId="0" fontId="1" fillId="15" borderId="0" xfId="0" applyFont="1" applyFill="1"/>
    <xf numFmtId="3" fontId="1" fillId="15" borderId="0" xfId="0" applyNumberFormat="1" applyFont="1" applyFill="1"/>
    <xf numFmtId="0" fontId="1" fillId="0" borderId="0" xfId="0" applyFont="1" applyFill="1"/>
    <xf numFmtId="0" fontId="3" fillId="0" borderId="0" xfId="0" applyFont="1" applyFill="1" applyProtection="1"/>
    <xf numFmtId="0" fontId="25" fillId="16" borderId="38" xfId="0" applyFont="1" applyFill="1" applyBorder="1" applyAlignment="1">
      <alignment horizontal="left" vertical="top" wrapText="1"/>
    </xf>
    <xf numFmtId="3" fontId="25" fillId="16" borderId="38" xfId="0" applyNumberFormat="1" applyFont="1" applyFill="1" applyBorder="1" applyAlignment="1">
      <alignment horizontal="center" vertical="center"/>
    </xf>
    <xf numFmtId="0" fontId="25" fillId="16" borderId="62" xfId="0" applyFont="1" applyFill="1" applyBorder="1" applyAlignment="1">
      <alignment horizontal="left" vertical="top" wrapText="1"/>
    </xf>
    <xf numFmtId="3" fontId="25" fillId="16" borderId="23" xfId="0" applyNumberFormat="1" applyFont="1" applyFill="1" applyBorder="1" applyAlignment="1">
      <alignment horizontal="center" vertical="center"/>
    </xf>
    <xf numFmtId="0" fontId="25" fillId="16" borderId="64" xfId="0" applyFont="1" applyFill="1" applyBorder="1" applyAlignment="1">
      <alignment horizontal="left" vertical="top" wrapText="1"/>
    </xf>
    <xf numFmtId="0" fontId="25" fillId="16" borderId="73" xfId="0" applyFont="1" applyFill="1" applyBorder="1" applyAlignment="1">
      <alignment horizontal="left" vertical="top" wrapText="1"/>
    </xf>
    <xf numFmtId="0" fontId="25" fillId="14" borderId="60" xfId="0" applyFont="1" applyFill="1" applyBorder="1" applyAlignment="1">
      <alignment horizontal="left" vertical="top" wrapText="1"/>
    </xf>
    <xf numFmtId="3" fontId="25" fillId="14" borderId="60" xfId="0" applyNumberFormat="1" applyFont="1" applyFill="1" applyBorder="1" applyAlignment="1">
      <alignment horizontal="center" vertical="center"/>
    </xf>
    <xf numFmtId="0" fontId="25" fillId="14" borderId="63" xfId="0" applyFont="1" applyFill="1" applyBorder="1" applyAlignment="1">
      <alignment horizontal="left" vertical="top" wrapText="1"/>
    </xf>
    <xf numFmtId="0" fontId="25" fillId="14" borderId="19" xfId="0" applyFont="1" applyFill="1" applyBorder="1" applyAlignment="1">
      <alignment horizontal="left" vertical="top" wrapText="1"/>
    </xf>
    <xf numFmtId="3" fontId="25" fillId="14" borderId="19" xfId="0" applyNumberFormat="1" applyFont="1" applyFill="1" applyBorder="1" applyAlignment="1">
      <alignment horizontal="center" vertical="center"/>
    </xf>
    <xf numFmtId="3" fontId="25" fillId="14" borderId="39" xfId="0" applyNumberFormat="1" applyFont="1" applyFill="1" applyBorder="1" applyAlignment="1">
      <alignment horizontal="center" vertical="center"/>
    </xf>
    <xf numFmtId="3" fontId="25" fillId="14" borderId="30" xfId="0" applyNumberFormat="1" applyFont="1" applyFill="1" applyBorder="1" applyAlignment="1" applyProtection="1">
      <alignment horizontal="center" vertical="center"/>
    </xf>
    <xf numFmtId="3" fontId="25" fillId="14" borderId="29" xfId="0" applyNumberFormat="1" applyFont="1" applyFill="1" applyBorder="1" applyAlignment="1" applyProtection="1">
      <alignment horizontal="center" vertical="center"/>
    </xf>
    <xf numFmtId="3" fontId="25" fillId="14" borderId="39" xfId="0" applyNumberFormat="1" applyFont="1" applyFill="1" applyBorder="1" applyAlignment="1" applyProtection="1">
      <alignment horizontal="center" vertical="center"/>
    </xf>
    <xf numFmtId="0" fontId="25" fillId="14" borderId="25" xfId="0" applyFont="1" applyFill="1" applyBorder="1" applyAlignment="1">
      <alignment vertical="top" wrapText="1"/>
    </xf>
    <xf numFmtId="3" fontId="25" fillId="14" borderId="32" xfId="0" applyNumberFormat="1" applyFont="1" applyFill="1" applyBorder="1" applyAlignment="1" applyProtection="1">
      <alignment horizontal="center" vertical="center"/>
    </xf>
    <xf numFmtId="0" fontId="25" fillId="14" borderId="19" xfId="0" applyFont="1" applyFill="1" applyBorder="1" applyAlignment="1" applyProtection="1">
      <alignment horizontal="left" vertical="top" wrapText="1"/>
    </xf>
    <xf numFmtId="3" fontId="25" fillId="14" borderId="19" xfId="0" applyNumberFormat="1" applyFont="1" applyFill="1" applyBorder="1" applyAlignment="1" applyProtection="1">
      <alignment horizontal="center" vertical="center"/>
    </xf>
    <xf numFmtId="3" fontId="25" fillId="14" borderId="26" xfId="0" applyNumberFormat="1" applyFont="1" applyFill="1" applyBorder="1" applyAlignment="1">
      <alignment horizontal="center" vertical="center"/>
    </xf>
    <xf numFmtId="0" fontId="25" fillId="14" borderId="25" xfId="0" applyFont="1" applyFill="1" applyBorder="1" applyAlignment="1">
      <alignment horizontal="left" vertical="top" wrapText="1"/>
    </xf>
    <xf numFmtId="49" fontId="17" fillId="0" borderId="9" xfId="0" applyNumberFormat="1" applyFont="1" applyFill="1" applyBorder="1" applyProtection="1"/>
    <xf numFmtId="14" fontId="10" fillId="0" borderId="21" xfId="0" applyNumberFormat="1" applyFont="1" applyFill="1" applyBorder="1" applyAlignment="1" applyProtection="1">
      <alignment horizontal="left" vertical="center"/>
      <protection locked="0"/>
    </xf>
    <xf numFmtId="0" fontId="4" fillId="0" borderId="19" xfId="0" applyFont="1" applyBorder="1" applyAlignment="1" applyProtection="1">
      <alignment horizontal="left" vertical="top"/>
    </xf>
    <xf numFmtId="0" fontId="3" fillId="0" borderId="60" xfId="0" applyFont="1" applyBorder="1" applyAlignment="1" applyProtection="1">
      <alignment horizontal="left" vertical="top"/>
    </xf>
    <xf numFmtId="0" fontId="3" fillId="0" borderId="8" xfId="0" applyFont="1" applyBorder="1" applyAlignment="1" applyProtection="1">
      <alignment horizontal="left" vertical="top"/>
    </xf>
    <xf numFmtId="0" fontId="3" fillId="0" borderId="38" xfId="0" applyFont="1" applyBorder="1" applyAlignment="1" applyProtection="1">
      <alignment horizontal="left" vertical="top"/>
    </xf>
    <xf numFmtId="3" fontId="3" fillId="0" borderId="21" xfId="0" applyNumberFormat="1" applyFont="1" applyBorder="1" applyAlignment="1" applyProtection="1">
      <alignment horizontal="left" vertical="top" wrapText="1"/>
      <protection locked="0"/>
    </xf>
    <xf numFmtId="0" fontId="16" fillId="10" borderId="0" xfId="0" applyFont="1" applyFill="1" applyAlignment="1">
      <alignment horizontal="left"/>
    </xf>
    <xf numFmtId="0" fontId="3" fillId="2" borderId="66" xfId="0" applyFont="1" applyFill="1" applyBorder="1" applyAlignment="1">
      <alignment vertical="top" wrapText="1"/>
    </xf>
    <xf numFmtId="0" fontId="3" fillId="2" borderId="62" xfId="0" applyFont="1" applyFill="1" applyBorder="1" applyAlignment="1">
      <alignment vertical="top" wrapText="1"/>
    </xf>
    <xf numFmtId="49" fontId="19" fillId="11" borderId="36" xfId="0" applyNumberFormat="1" applyFont="1" applyFill="1" applyBorder="1" applyAlignment="1" applyProtection="1">
      <alignment horizontal="center" vertical="center" wrapText="1"/>
      <protection locked="0"/>
    </xf>
    <xf numFmtId="0" fontId="0" fillId="2" borderId="34" xfId="0" applyFill="1" applyBorder="1" applyAlignment="1">
      <alignment vertical="center"/>
    </xf>
    <xf numFmtId="0" fontId="0" fillId="2" borderId="23" xfId="0" applyFill="1" applyBorder="1"/>
    <xf numFmtId="0" fontId="28" fillId="3" borderId="0" xfId="0" applyFont="1" applyFill="1"/>
    <xf numFmtId="0" fontId="3" fillId="3" borderId="11" xfId="0" applyFont="1" applyFill="1" applyBorder="1"/>
    <xf numFmtId="0" fontId="4" fillId="3" borderId="0" xfId="0" applyFont="1" applyFill="1" applyBorder="1" applyAlignment="1">
      <alignment horizontal="center" vertical="center" wrapText="1"/>
    </xf>
    <xf numFmtId="0" fontId="18" fillId="3" borderId="0" xfId="0" applyNumberFormat="1" applyFont="1" applyFill="1" applyBorder="1" applyAlignment="1" applyProtection="1">
      <alignment horizontal="center" vertical="center"/>
    </xf>
    <xf numFmtId="0" fontId="0" fillId="5" borderId="14" xfId="0" applyFill="1" applyBorder="1"/>
    <xf numFmtId="0" fontId="0" fillId="5" borderId="12" xfId="0" applyFill="1" applyBorder="1"/>
    <xf numFmtId="0" fontId="0" fillId="5" borderId="6" xfId="0" applyFill="1" applyBorder="1"/>
    <xf numFmtId="0" fontId="0" fillId="5" borderId="58" xfId="0" applyFill="1" applyBorder="1"/>
    <xf numFmtId="0" fontId="0" fillId="5" borderId="1" xfId="0" applyFill="1" applyBorder="1"/>
    <xf numFmtId="0" fontId="0" fillId="0" borderId="0" xfId="0" applyAlignment="1">
      <alignment horizontal="left"/>
    </xf>
    <xf numFmtId="49" fontId="0" fillId="12" borderId="1" xfId="0" applyNumberFormat="1" applyFill="1" applyBorder="1" applyAlignment="1">
      <alignment horizontal="left"/>
    </xf>
    <xf numFmtId="49" fontId="0" fillId="12" borderId="1" xfId="0" applyNumberFormat="1" applyFill="1" applyBorder="1" applyAlignment="1"/>
    <xf numFmtId="1" fontId="9" fillId="8" borderId="69" xfId="0" applyNumberFormat="1" applyFont="1" applyFill="1" applyBorder="1" applyAlignment="1" applyProtection="1">
      <alignment horizontal="center" vertical="center"/>
    </xf>
    <xf numFmtId="0" fontId="14" fillId="7" borderId="36" xfId="0" applyFont="1" applyFill="1" applyBorder="1" applyAlignment="1" applyProtection="1">
      <alignment vertical="top"/>
    </xf>
    <xf numFmtId="1" fontId="9" fillId="6" borderId="65" xfId="0" applyNumberFormat="1" applyFont="1" applyFill="1" applyBorder="1" applyAlignment="1" applyProtection="1">
      <alignment horizontal="center" vertical="center"/>
    </xf>
    <xf numFmtId="0" fontId="3" fillId="0" borderId="27" xfId="0" applyFont="1" applyBorder="1" applyAlignment="1">
      <alignment horizontal="left" vertical="top"/>
    </xf>
    <xf numFmtId="0" fontId="3" fillId="0" borderId="13" xfId="0" applyNumberFormat="1" applyFont="1" applyBorder="1" applyAlignment="1">
      <alignment horizontal="left" vertical="top" wrapText="1"/>
    </xf>
    <xf numFmtId="0" fontId="3" fillId="3" borderId="3"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2" borderId="19" xfId="0" applyFont="1" applyFill="1" applyBorder="1" applyAlignment="1" applyProtection="1">
      <alignment horizontal="left" vertical="top"/>
      <protection locked="0"/>
    </xf>
    <xf numFmtId="0" fontId="3" fillId="2" borderId="32" xfId="0" applyFont="1" applyFill="1" applyBorder="1" applyProtection="1">
      <protection locked="0"/>
    </xf>
    <xf numFmtId="0" fontId="29" fillId="0" borderId="1" xfId="0" applyFont="1" applyFill="1" applyBorder="1" applyAlignment="1">
      <alignment vertical="top"/>
    </xf>
    <xf numFmtId="0" fontId="4" fillId="3" borderId="66" xfId="0" applyFont="1" applyFill="1" applyBorder="1" applyAlignment="1">
      <alignment horizontal="left" vertical="center" wrapText="1"/>
    </xf>
    <xf numFmtId="0" fontId="3" fillId="3" borderId="34" xfId="0" applyFont="1" applyFill="1" applyBorder="1" applyAlignment="1">
      <alignment horizontal="left" vertical="top" wrapText="1"/>
    </xf>
    <xf numFmtId="0" fontId="23" fillId="4" borderId="30" xfId="0" applyFont="1" applyFill="1" applyBorder="1" applyAlignment="1">
      <alignment horizontal="center" vertical="center" wrapText="1"/>
    </xf>
    <xf numFmtId="0" fontId="23" fillId="4" borderId="26"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1" fillId="13" borderId="37" xfId="0" applyFont="1" applyFill="1" applyBorder="1"/>
    <xf numFmtId="3" fontId="3" fillId="0" borderId="52" xfId="0" applyNumberFormat="1" applyFont="1" applyBorder="1" applyAlignment="1" applyProtection="1">
      <alignment horizontal="left" vertical="top" wrapText="1"/>
      <protection locked="0"/>
    </xf>
    <xf numFmtId="3" fontId="3" fillId="0" borderId="2" xfId="0" applyNumberFormat="1" applyFont="1" applyBorder="1" applyAlignment="1" applyProtection="1">
      <alignment horizontal="left" vertical="top" wrapText="1"/>
      <protection locked="0"/>
    </xf>
    <xf numFmtId="3" fontId="3" fillId="0" borderId="53" xfId="0" applyNumberFormat="1" applyFont="1" applyBorder="1" applyAlignment="1" applyProtection="1">
      <alignment horizontal="left" vertical="top" wrapText="1"/>
      <protection locked="0"/>
    </xf>
    <xf numFmtId="3" fontId="3" fillId="0" borderId="57" xfId="0" applyNumberFormat="1" applyFont="1" applyBorder="1" applyAlignment="1" applyProtection="1">
      <alignment horizontal="left" vertical="top" wrapText="1"/>
      <protection locked="0"/>
    </xf>
    <xf numFmtId="3" fontId="3" fillId="3" borderId="55" xfId="0" applyNumberFormat="1" applyFont="1" applyFill="1" applyBorder="1" applyAlignment="1" applyProtection="1">
      <alignment horizontal="center" vertical="center"/>
    </xf>
    <xf numFmtId="3" fontId="3" fillId="3" borderId="25" xfId="0" applyNumberFormat="1" applyFont="1" applyFill="1" applyBorder="1" applyAlignment="1" applyProtection="1">
      <alignment horizontal="center" vertical="center"/>
    </xf>
    <xf numFmtId="0" fontId="3" fillId="2" borderId="36" xfId="0" applyFont="1" applyFill="1" applyBorder="1" applyAlignment="1">
      <alignment vertical="top" wrapText="1"/>
    </xf>
    <xf numFmtId="0" fontId="3" fillId="2" borderId="40" xfId="0" applyFont="1" applyFill="1" applyBorder="1" applyAlignment="1">
      <alignment vertical="top" wrapText="1"/>
    </xf>
    <xf numFmtId="3" fontId="25" fillId="14" borderId="31" xfId="0" applyNumberFormat="1" applyFont="1" applyFill="1" applyBorder="1" applyAlignment="1">
      <alignment horizontal="center" vertical="center"/>
    </xf>
    <xf numFmtId="3" fontId="25" fillId="14" borderId="22" xfId="0" applyNumberFormat="1" applyFont="1" applyFill="1" applyBorder="1" applyAlignment="1">
      <alignment horizontal="center" vertical="center"/>
    </xf>
    <xf numFmtId="3" fontId="25" fillId="14" borderId="24" xfId="0" applyNumberFormat="1" applyFont="1" applyFill="1" applyBorder="1" applyAlignment="1">
      <alignment horizontal="center" vertical="center"/>
    </xf>
    <xf numFmtId="3" fontId="25" fillId="16" borderId="71" xfId="0" applyNumberFormat="1" applyFont="1" applyFill="1" applyBorder="1" applyAlignment="1">
      <alignment horizontal="center" vertical="center"/>
    </xf>
    <xf numFmtId="3" fontId="25" fillId="16" borderId="41" xfId="0" applyNumberFormat="1" applyFont="1" applyFill="1" applyBorder="1" applyAlignment="1">
      <alignment horizontal="center" vertical="center"/>
    </xf>
    <xf numFmtId="3" fontId="25" fillId="16" borderId="72" xfId="0" applyNumberFormat="1" applyFont="1" applyFill="1" applyBorder="1" applyAlignment="1">
      <alignment horizontal="center" vertical="center"/>
    </xf>
    <xf numFmtId="3" fontId="25" fillId="16" borderId="37" xfId="0" applyNumberFormat="1" applyFont="1" applyFill="1" applyBorder="1" applyAlignment="1">
      <alignment horizontal="center" vertical="center"/>
    </xf>
    <xf numFmtId="3" fontId="25" fillId="16" borderId="20" xfId="0" applyNumberFormat="1" applyFont="1" applyFill="1" applyBorder="1" applyAlignment="1">
      <alignment horizontal="center" vertical="center"/>
    </xf>
    <xf numFmtId="3" fontId="25" fillId="16" borderId="21" xfId="0" applyNumberFormat="1" applyFont="1" applyFill="1" applyBorder="1" applyAlignment="1">
      <alignment horizontal="center" vertical="center"/>
    </xf>
    <xf numFmtId="3" fontId="25" fillId="14" borderId="45" xfId="0" applyNumberFormat="1" applyFont="1" applyFill="1" applyBorder="1" applyAlignment="1">
      <alignment horizontal="center" vertical="center"/>
    </xf>
    <xf numFmtId="3" fontId="25" fillId="14" borderId="42" xfId="0" applyNumberFormat="1" applyFont="1" applyFill="1" applyBorder="1" applyAlignment="1">
      <alignment horizontal="center" vertical="center"/>
    </xf>
    <xf numFmtId="3" fontId="25" fillId="16" borderId="44" xfId="0" applyNumberFormat="1" applyFont="1" applyFill="1" applyBorder="1" applyAlignment="1">
      <alignment horizontal="center" vertical="center"/>
    </xf>
    <xf numFmtId="3" fontId="25" fillId="16" borderId="54" xfId="0" applyNumberFormat="1" applyFont="1" applyFill="1" applyBorder="1" applyAlignment="1">
      <alignment horizontal="center" vertical="center"/>
    </xf>
    <xf numFmtId="0" fontId="4" fillId="2" borderId="33" xfId="0" applyFont="1" applyFill="1" applyBorder="1" applyAlignment="1" applyProtection="1">
      <alignment horizontal="left" vertical="top" wrapText="1"/>
    </xf>
    <xf numFmtId="0" fontId="3" fillId="3" borderId="34" xfId="0" applyFont="1" applyFill="1" applyBorder="1" applyAlignment="1">
      <alignment horizontal="left" vertical="top" wrapText="1"/>
    </xf>
    <xf numFmtId="14" fontId="0" fillId="0" borderId="15" xfId="0" applyNumberFormat="1" applyFont="1" applyBorder="1"/>
    <xf numFmtId="49" fontId="11" fillId="0" borderId="40" xfId="0" applyNumberFormat="1" applyFont="1" applyBorder="1" applyProtection="1">
      <protection locked="0"/>
    </xf>
    <xf numFmtId="14" fontId="11" fillId="3" borderId="19" xfId="0" applyNumberFormat="1"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top" wrapText="1"/>
    </xf>
    <xf numFmtId="0" fontId="3" fillId="0" borderId="24" xfId="0" applyFont="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9" xfId="0" applyFont="1" applyBorder="1" applyAlignment="1" applyProtection="1">
      <alignment vertical="top" wrapText="1"/>
    </xf>
    <xf numFmtId="0" fontId="3" fillId="0" borderId="20" xfId="0" applyFont="1" applyFill="1" applyBorder="1" applyAlignment="1" applyProtection="1">
      <alignment horizontal="left" vertical="top" wrapText="1"/>
    </xf>
    <xf numFmtId="0" fontId="3" fillId="0" borderId="21" xfId="0" applyFont="1" applyBorder="1" applyAlignment="1" applyProtection="1">
      <alignment horizontal="left" vertical="top" wrapText="1"/>
    </xf>
    <xf numFmtId="0" fontId="25" fillId="14" borderId="34" xfId="0" applyFont="1" applyFill="1" applyBorder="1" applyAlignment="1">
      <alignment horizontal="left" vertical="top" wrapText="1"/>
    </xf>
    <xf numFmtId="3" fontId="3" fillId="2" borderId="29" xfId="0" applyNumberFormat="1" applyFont="1" applyFill="1" applyBorder="1" applyAlignment="1" applyProtection="1">
      <alignment horizontal="center" vertical="center" wrapText="1"/>
    </xf>
    <xf numFmtId="3" fontId="23" fillId="4" borderId="19" xfId="0" applyNumberFormat="1" applyFont="1" applyFill="1" applyBorder="1" applyAlignment="1" applyProtection="1">
      <alignment horizontal="center" vertical="center" wrapText="1"/>
    </xf>
    <xf numFmtId="3" fontId="3" fillId="2" borderId="30" xfId="0" applyNumberFormat="1" applyFont="1" applyFill="1" applyBorder="1" applyAlignment="1" applyProtection="1">
      <alignment horizontal="center" vertical="center" wrapText="1"/>
    </xf>
    <xf numFmtId="3" fontId="3" fillId="3" borderId="30" xfId="0" applyNumberFormat="1" applyFont="1" applyFill="1" applyBorder="1" applyAlignment="1" applyProtection="1">
      <alignment horizontal="center" vertical="center"/>
      <protection locked="0"/>
    </xf>
    <xf numFmtId="3" fontId="3" fillId="3" borderId="29" xfId="0" applyNumberFormat="1" applyFont="1" applyFill="1" applyBorder="1" applyAlignment="1" applyProtection="1">
      <alignment horizontal="center" vertical="center"/>
      <protection locked="0"/>
    </xf>
    <xf numFmtId="3" fontId="3" fillId="3" borderId="39" xfId="0" applyNumberFormat="1" applyFont="1" applyFill="1" applyBorder="1" applyAlignment="1" applyProtection="1">
      <alignment horizontal="center" vertical="center"/>
      <protection locked="0"/>
    </xf>
    <xf numFmtId="0" fontId="3" fillId="0" borderId="0" xfId="0" applyFont="1" applyAlignment="1">
      <alignment vertical="center"/>
    </xf>
    <xf numFmtId="0" fontId="1" fillId="5" borderId="14" xfId="0" applyFont="1" applyFill="1" applyBorder="1"/>
    <xf numFmtId="0" fontId="1" fillId="5" borderId="6" xfId="0" applyFont="1" applyFill="1" applyBorder="1"/>
    <xf numFmtId="0" fontId="25" fillId="16" borderId="23" xfId="0" applyFont="1" applyFill="1" applyBorder="1" applyAlignment="1">
      <alignment horizontal="left" vertical="top" wrapText="1"/>
    </xf>
    <xf numFmtId="3" fontId="25" fillId="14" borderId="29" xfId="0" applyNumberFormat="1" applyFont="1" applyFill="1" applyBorder="1" applyAlignment="1">
      <alignment horizontal="center" vertical="center"/>
    </xf>
    <xf numFmtId="49" fontId="17" fillId="0" borderId="1" xfId="0" applyNumberFormat="1" applyFont="1" applyBorder="1" applyProtection="1"/>
    <xf numFmtId="0" fontId="3" fillId="2" borderId="66" xfId="0" applyFont="1" applyFill="1" applyBorder="1" applyAlignment="1"/>
    <xf numFmtId="0" fontId="3" fillId="2" borderId="36" xfId="0" applyFont="1" applyFill="1" applyBorder="1" applyAlignment="1"/>
    <xf numFmtId="0" fontId="3" fillId="2" borderId="62" xfId="0" applyFont="1" applyFill="1" applyBorder="1" applyAlignment="1"/>
    <xf numFmtId="0" fontId="3" fillId="2" borderId="40" xfId="0" applyFont="1" applyFill="1" applyBorder="1" applyAlignment="1"/>
    <xf numFmtId="0" fontId="3" fillId="2" borderId="49" xfId="0" applyFont="1" applyFill="1" applyBorder="1" applyAlignment="1"/>
    <xf numFmtId="0" fontId="3" fillId="2" borderId="50" xfId="0" applyFont="1" applyFill="1" applyBorder="1" applyAlignment="1"/>
    <xf numFmtId="49" fontId="19" fillId="2" borderId="66" xfId="0" applyNumberFormat="1" applyFont="1" applyFill="1" applyBorder="1" applyAlignment="1" applyProtection="1">
      <alignment vertical="center"/>
      <protection locked="0"/>
    </xf>
    <xf numFmtId="49" fontId="19" fillId="2" borderId="36" xfId="0" applyNumberFormat="1" applyFont="1" applyFill="1" applyBorder="1" applyAlignment="1" applyProtection="1">
      <alignment vertical="center"/>
      <protection locked="0"/>
    </xf>
    <xf numFmtId="49" fontId="19" fillId="2" borderId="62" xfId="0" applyNumberFormat="1" applyFont="1" applyFill="1" applyBorder="1" applyAlignment="1" applyProtection="1">
      <alignment vertical="center"/>
      <protection locked="0"/>
    </xf>
    <xf numFmtId="49" fontId="19" fillId="2" borderId="40" xfId="0" applyNumberFormat="1" applyFont="1" applyFill="1" applyBorder="1" applyAlignment="1" applyProtection="1">
      <alignment vertical="center"/>
      <protection locked="0"/>
    </xf>
    <xf numFmtId="0" fontId="3" fillId="3" borderId="11" xfId="0" applyFont="1" applyFill="1" applyBorder="1" applyAlignment="1">
      <alignment horizontal="left" vertical="top" wrapText="1"/>
    </xf>
    <xf numFmtId="0" fontId="28" fillId="0" borderId="0" xfId="0" applyFont="1" applyAlignment="1">
      <alignment horizontal="left" vertical="top" wrapText="1"/>
    </xf>
    <xf numFmtId="0" fontId="5" fillId="2" borderId="30" xfId="0" applyNumberFormat="1" applyFont="1" applyFill="1" applyBorder="1" applyAlignment="1">
      <alignment vertical="top" wrapText="1"/>
    </xf>
    <xf numFmtId="0" fontId="3" fillId="3" borderId="0" xfId="0" applyFont="1" applyFill="1" applyAlignment="1" applyProtection="1">
      <alignment horizontal="left" vertical="top" wrapText="1"/>
    </xf>
    <xf numFmtId="0" fontId="29" fillId="0" borderId="1" xfId="0" applyFont="1" applyFill="1" applyBorder="1" applyAlignment="1" applyProtection="1">
      <alignment vertical="top"/>
    </xf>
    <xf numFmtId="0" fontId="7" fillId="0" borderId="0" xfId="0" applyFont="1" applyFill="1" applyAlignment="1" applyProtection="1">
      <alignment vertical="top"/>
    </xf>
    <xf numFmtId="0" fontId="4" fillId="2" borderId="19" xfId="0" applyFont="1" applyFill="1" applyBorder="1" applyAlignment="1" applyProtection="1">
      <alignment horizontal="center" vertical="center" wrapText="1"/>
    </xf>
    <xf numFmtId="0" fontId="4" fillId="4" borderId="23" xfId="0" applyNumberFormat="1" applyFont="1" applyFill="1" applyBorder="1" applyAlignment="1" applyProtection="1">
      <alignment horizontal="left" vertical="center" wrapText="1"/>
    </xf>
    <xf numFmtId="0" fontId="4" fillId="4" borderId="23" xfId="0" applyFont="1" applyFill="1" applyBorder="1" applyAlignment="1" applyProtection="1">
      <alignment horizontal="center" vertical="center" wrapText="1"/>
    </xf>
    <xf numFmtId="0" fontId="4" fillId="4" borderId="41"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17" xfId="0" applyFont="1" applyFill="1" applyBorder="1" applyAlignment="1" applyProtection="1">
      <alignment horizontal="center" vertical="center" wrapText="1"/>
    </xf>
    <xf numFmtId="0" fontId="3" fillId="3" borderId="34" xfId="0" applyFont="1" applyFill="1" applyBorder="1" applyAlignment="1" applyProtection="1">
      <alignment horizontal="left" vertical="top" wrapText="1"/>
    </xf>
    <xf numFmtId="3" fontId="3" fillId="3" borderId="11" xfId="0" applyNumberFormat="1" applyFont="1" applyFill="1" applyBorder="1" applyAlignment="1" applyProtection="1">
      <alignment horizontal="center" vertical="center"/>
    </xf>
    <xf numFmtId="0" fontId="3" fillId="0" borderId="0" xfId="0" applyFont="1" applyAlignment="1" applyProtection="1">
      <alignment vertical="center"/>
    </xf>
    <xf numFmtId="0" fontId="3" fillId="3" borderId="0" xfId="0" applyFont="1" applyFill="1" applyBorder="1" applyProtection="1"/>
    <xf numFmtId="0" fontId="4" fillId="4" borderId="45" xfId="0" applyFont="1" applyFill="1" applyBorder="1" applyAlignment="1" applyProtection="1">
      <alignment horizontal="left" vertical="top"/>
    </xf>
    <xf numFmtId="0" fontId="4" fillId="4" borderId="12" xfId="0" applyFont="1" applyFill="1" applyBorder="1" applyAlignment="1" applyProtection="1">
      <alignment horizontal="left" vertical="top"/>
    </xf>
    <xf numFmtId="0" fontId="4" fillId="4" borderId="51" xfId="0" applyFont="1" applyFill="1" applyBorder="1" applyAlignment="1" applyProtection="1">
      <alignment horizontal="left" vertical="top"/>
    </xf>
    <xf numFmtId="0" fontId="3" fillId="3" borderId="0" xfId="0" applyFont="1" applyFill="1" applyAlignment="1" applyProtection="1">
      <alignment horizontal="left"/>
    </xf>
    <xf numFmtId="3" fontId="4" fillId="3" borderId="0" xfId="0" applyNumberFormat="1" applyFont="1" applyFill="1" applyBorder="1" applyAlignment="1" applyProtection="1">
      <alignment horizontal="center" vertical="center" wrapText="1"/>
    </xf>
    <xf numFmtId="3" fontId="19" fillId="3" borderId="0" xfId="0" applyNumberFormat="1" applyFont="1" applyFill="1" applyBorder="1" applyAlignment="1" applyProtection="1">
      <alignment horizontal="center" vertical="center"/>
    </xf>
    <xf numFmtId="0" fontId="0" fillId="0" borderId="74" xfId="0" applyBorder="1"/>
    <xf numFmtId="3" fontId="1" fillId="5" borderId="68" xfId="0" applyNumberFormat="1" applyFont="1" applyFill="1" applyBorder="1"/>
    <xf numFmtId="0" fontId="0" fillId="0" borderId="38" xfId="0" applyBorder="1"/>
    <xf numFmtId="14" fontId="0" fillId="0" borderId="54" xfId="0" applyNumberFormat="1" applyBorder="1"/>
    <xf numFmtId="0" fontId="0" fillId="5" borderId="44" xfId="0" applyFill="1" applyBorder="1"/>
    <xf numFmtId="0" fontId="0" fillId="5" borderId="41" xfId="0" applyFill="1" applyBorder="1"/>
    <xf numFmtId="3" fontId="0" fillId="5" borderId="41" xfId="0" applyNumberFormat="1" applyFill="1" applyBorder="1"/>
    <xf numFmtId="3" fontId="0" fillId="5" borderId="72" xfId="0" applyNumberFormat="1" applyFill="1" applyBorder="1"/>
    <xf numFmtId="3" fontId="0" fillId="5" borderId="44" xfId="0" applyNumberFormat="1" applyFill="1" applyBorder="1"/>
    <xf numFmtId="3" fontId="0" fillId="5" borderId="20" xfId="0" applyNumberFormat="1" applyFill="1" applyBorder="1"/>
    <xf numFmtId="0" fontId="0" fillId="5" borderId="20" xfId="0" applyFill="1" applyBorder="1"/>
    <xf numFmtId="0" fontId="0" fillId="5" borderId="72" xfId="0" applyFill="1" applyBorder="1"/>
    <xf numFmtId="14" fontId="0" fillId="0" borderId="54" xfId="0" applyNumberFormat="1" applyFont="1" applyBorder="1"/>
    <xf numFmtId="1" fontId="9" fillId="9" borderId="38" xfId="0" applyNumberFormat="1" applyFont="1" applyFill="1" applyBorder="1" applyAlignment="1" applyProtection="1">
      <alignment horizontal="center" vertical="center"/>
    </xf>
    <xf numFmtId="49" fontId="27" fillId="0" borderId="65" xfId="2" applyNumberFormat="1" applyFont="1" applyBorder="1" applyAlignment="1" applyProtection="1">
      <alignment horizontal="left" vertical="top"/>
      <protection locked="0"/>
    </xf>
    <xf numFmtId="49" fontId="27" fillId="0" borderId="3" xfId="2" applyNumberFormat="1" applyFont="1" applyBorder="1" applyAlignment="1" applyProtection="1">
      <alignment horizontal="left" vertical="top"/>
      <protection locked="0"/>
    </xf>
    <xf numFmtId="49" fontId="27" fillId="0" borderId="15" xfId="2" applyNumberFormat="1" applyFont="1" applyBorder="1" applyAlignment="1" applyProtection="1">
      <alignment horizontal="left" vertical="top"/>
      <protection locked="0"/>
    </xf>
    <xf numFmtId="49" fontId="27" fillId="0" borderId="64" xfId="2" applyNumberFormat="1" applyFont="1" applyBorder="1" applyAlignment="1" applyProtection="1">
      <alignment horizontal="left" vertical="top"/>
      <protection locked="0"/>
    </xf>
    <xf numFmtId="49" fontId="27" fillId="0" borderId="47" xfId="2" applyNumberFormat="1" applyFont="1" applyBorder="1" applyAlignment="1" applyProtection="1">
      <alignment horizontal="left" vertical="top"/>
      <protection locked="0"/>
    </xf>
    <xf numFmtId="49" fontId="27" fillId="0" borderId="54" xfId="2" applyNumberFormat="1" applyFont="1" applyBorder="1" applyAlignment="1" applyProtection="1">
      <alignment horizontal="left" vertical="top"/>
      <protection locked="0"/>
    </xf>
    <xf numFmtId="49" fontId="27" fillId="0" borderId="63" xfId="2" applyNumberFormat="1" applyFont="1" applyBorder="1" applyAlignment="1" applyProtection="1">
      <alignment horizontal="left" vertical="top" wrapText="1"/>
      <protection locked="0"/>
    </xf>
    <xf numFmtId="49" fontId="27" fillId="0" borderId="46" xfId="2" applyNumberFormat="1" applyFont="1" applyBorder="1" applyAlignment="1" applyProtection="1">
      <alignment horizontal="left" vertical="top" wrapText="1"/>
      <protection locked="0"/>
    </xf>
    <xf numFmtId="49" fontId="27" fillId="0" borderId="42" xfId="2" applyNumberFormat="1" applyFont="1" applyBorder="1" applyAlignment="1" applyProtection="1">
      <alignment horizontal="left" vertical="top" wrapText="1"/>
      <protection locked="0"/>
    </xf>
    <xf numFmtId="0" fontId="14" fillId="7" borderId="66" xfId="0" applyFont="1" applyFill="1" applyBorder="1" applyAlignment="1" applyProtection="1">
      <alignment horizontal="left" vertical="top"/>
    </xf>
    <xf numFmtId="0" fontId="14" fillId="7" borderId="49" xfId="0" applyFont="1" applyFill="1" applyBorder="1" applyAlignment="1" applyProtection="1">
      <alignment horizontal="left" vertical="top"/>
    </xf>
    <xf numFmtId="0" fontId="12" fillId="2" borderId="63" xfId="0" applyFont="1" applyFill="1" applyBorder="1" applyAlignment="1" applyProtection="1">
      <alignment horizontal="left" vertical="center" wrapText="1"/>
    </xf>
    <xf numFmtId="0" fontId="12" fillId="2" borderId="46" xfId="0" applyFont="1" applyFill="1" applyBorder="1" applyAlignment="1" applyProtection="1">
      <alignment horizontal="left" vertical="center" wrapText="1"/>
    </xf>
    <xf numFmtId="0" fontId="12" fillId="2" borderId="42" xfId="0" applyFont="1" applyFill="1" applyBorder="1" applyAlignment="1" applyProtection="1">
      <alignment horizontal="left" vertical="center" wrapText="1"/>
    </xf>
    <xf numFmtId="0" fontId="15" fillId="8" borderId="25" xfId="0" applyFont="1" applyFill="1" applyBorder="1" applyAlignment="1" applyProtection="1">
      <alignment horizontal="left" vertical="top"/>
    </xf>
    <xf numFmtId="0" fontId="15" fillId="8" borderId="27" xfId="0" applyFont="1" applyFill="1" applyBorder="1" applyAlignment="1" applyProtection="1">
      <alignment horizontal="left" vertical="top"/>
    </xf>
    <xf numFmtId="0" fontId="15" fillId="8" borderId="26" xfId="0" applyFont="1" applyFill="1" applyBorder="1" applyAlignment="1" applyProtection="1">
      <alignment horizontal="left" vertical="top"/>
    </xf>
    <xf numFmtId="0" fontId="12" fillId="2" borderId="63"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0" fillId="2" borderId="64" xfId="0" applyFill="1" applyBorder="1" applyAlignment="1" applyProtection="1">
      <alignment horizontal="center"/>
    </xf>
    <xf numFmtId="0" fontId="0" fillId="2" borderId="37" xfId="0" applyFill="1" applyBorder="1" applyAlignment="1" applyProtection="1">
      <alignment horizontal="center"/>
    </xf>
    <xf numFmtId="0" fontId="12" fillId="2" borderId="64"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49" fontId="26" fillId="0" borderId="64" xfId="0" applyNumberFormat="1" applyFont="1" applyBorder="1" applyAlignment="1" applyProtection="1">
      <alignment horizontal="left" vertical="top" wrapText="1"/>
      <protection locked="0"/>
    </xf>
    <xf numFmtId="49" fontId="26" fillId="0" borderId="54" xfId="0" applyNumberFormat="1" applyFont="1" applyBorder="1" applyAlignment="1" applyProtection="1">
      <alignment horizontal="left" vertical="top" wrapText="1"/>
      <protection locked="0"/>
    </xf>
    <xf numFmtId="49" fontId="26" fillId="0" borderId="25" xfId="0" applyNumberFormat="1" applyFont="1" applyBorder="1" applyAlignment="1" applyProtection="1">
      <alignment horizontal="left" vertical="top" wrapText="1"/>
      <protection locked="0"/>
    </xf>
    <xf numFmtId="49" fontId="26" fillId="0" borderId="26" xfId="0" applyNumberFormat="1" applyFont="1" applyBorder="1" applyAlignment="1" applyProtection="1">
      <alignment horizontal="left" vertical="top" wrapText="1"/>
      <protection locked="0"/>
    </xf>
    <xf numFmtId="0" fontId="4" fillId="0" borderId="49" xfId="0" applyFont="1" applyFill="1" applyBorder="1" applyAlignment="1" applyProtection="1">
      <alignment horizontal="left" vertical="top"/>
    </xf>
    <xf numFmtId="0" fontId="7" fillId="0" borderId="12" xfId="0" applyFont="1" applyFill="1" applyBorder="1" applyAlignment="1" applyProtection="1">
      <alignment horizontal="left" vertical="top"/>
    </xf>
    <xf numFmtId="0" fontId="7" fillId="0" borderId="1" xfId="0" applyFont="1" applyFill="1" applyBorder="1" applyAlignment="1" applyProtection="1">
      <alignment horizontal="left" vertical="top"/>
    </xf>
    <xf numFmtId="0" fontId="7" fillId="0" borderId="44" xfId="0" applyFont="1" applyFill="1" applyBorder="1" applyAlignment="1" applyProtection="1">
      <alignment horizontal="left" vertical="top"/>
    </xf>
    <xf numFmtId="0" fontId="7" fillId="0" borderId="20" xfId="0" applyFont="1" applyFill="1" applyBorder="1" applyAlignment="1" applyProtection="1">
      <alignment horizontal="left" vertical="top"/>
    </xf>
    <xf numFmtId="0" fontId="8" fillId="6" borderId="66" xfId="0" applyFont="1" applyFill="1" applyBorder="1" applyAlignment="1" applyProtection="1">
      <alignment horizontal="left"/>
    </xf>
    <xf numFmtId="0" fontId="8" fillId="6" borderId="49" xfId="0" applyFont="1" applyFill="1" applyBorder="1" applyAlignment="1" applyProtection="1">
      <alignment horizontal="left"/>
    </xf>
    <xf numFmtId="0" fontId="8" fillId="6" borderId="36" xfId="0" applyFont="1" applyFill="1" applyBorder="1" applyAlignment="1" applyProtection="1">
      <alignment horizontal="left"/>
    </xf>
    <xf numFmtId="49" fontId="3" fillId="0" borderId="12" xfId="0" applyNumberFormat="1" applyFont="1" applyBorder="1" applyAlignment="1" applyProtection="1">
      <alignment horizontal="left" vertical="top" wrapText="1"/>
      <protection locked="0"/>
    </xf>
    <xf numFmtId="49" fontId="3" fillId="0" borderId="9" xfId="0" applyNumberFormat="1" applyFont="1" applyBorder="1" applyAlignment="1" applyProtection="1">
      <alignment horizontal="left" vertical="top" wrapText="1"/>
      <protection locked="0"/>
    </xf>
    <xf numFmtId="0" fontId="3" fillId="0" borderId="0" xfId="0" applyFont="1" applyBorder="1" applyAlignment="1" applyProtection="1">
      <alignment horizontal="left" vertical="top"/>
    </xf>
    <xf numFmtId="0" fontId="3" fillId="0" borderId="18" xfId="0" applyFont="1" applyBorder="1" applyAlignment="1" applyProtection="1">
      <alignment horizontal="left" vertical="top"/>
    </xf>
    <xf numFmtId="0" fontId="4" fillId="2" borderId="25" xfId="0" applyFont="1" applyFill="1" applyBorder="1" applyAlignment="1" applyProtection="1">
      <alignment horizontal="left" vertical="top" wrapText="1"/>
    </xf>
    <xf numFmtId="0" fontId="4" fillId="2" borderId="27" xfId="0" applyFont="1" applyFill="1" applyBorder="1" applyAlignment="1" applyProtection="1">
      <alignment horizontal="left" vertical="top" wrapText="1"/>
    </xf>
    <xf numFmtId="0" fontId="4" fillId="2" borderId="32" xfId="0" applyFont="1" applyFill="1" applyBorder="1" applyAlignment="1" applyProtection="1">
      <alignment horizontal="left" vertical="top" wrapText="1"/>
    </xf>
    <xf numFmtId="0" fontId="4" fillId="2" borderId="33" xfId="0" applyFont="1" applyFill="1" applyBorder="1" applyAlignment="1" applyProtection="1">
      <alignment horizontal="left" vertical="top" wrapText="1"/>
    </xf>
    <xf numFmtId="49" fontId="3" fillId="0" borderId="44" xfId="0" applyNumberFormat="1" applyFont="1" applyBorder="1" applyAlignment="1" applyProtection="1">
      <alignment horizontal="left" vertical="top" wrapText="1"/>
      <protection locked="0"/>
    </xf>
    <xf numFmtId="49" fontId="3" fillId="0" borderId="21" xfId="0" applyNumberFormat="1" applyFont="1" applyBorder="1" applyAlignment="1" applyProtection="1">
      <alignment horizontal="left" vertical="top" wrapText="1"/>
      <protection locked="0"/>
    </xf>
    <xf numFmtId="0" fontId="3" fillId="0" borderId="31" xfId="0" applyFont="1" applyBorder="1" applyAlignment="1" applyProtection="1">
      <alignment horizontal="left" vertical="top" wrapText="1"/>
    </xf>
    <xf numFmtId="0" fontId="3" fillId="0" borderId="22"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37" xfId="0" applyFont="1" applyBorder="1" applyAlignment="1" applyProtection="1">
      <alignment horizontal="left" vertical="top" wrapText="1"/>
    </xf>
    <xf numFmtId="0" fontId="3" fillId="0" borderId="20" xfId="0" applyFont="1" applyBorder="1" applyAlignment="1" applyProtection="1">
      <alignment horizontal="left" vertical="top" wrapText="1"/>
    </xf>
    <xf numFmtId="49" fontId="3" fillId="0" borderId="45" xfId="0" applyNumberFormat="1" applyFont="1" applyBorder="1" applyAlignment="1" applyProtection="1">
      <alignment horizontal="left" vertical="top" wrapText="1"/>
      <protection locked="0"/>
    </xf>
    <xf numFmtId="49" fontId="3" fillId="0" borderId="24" xfId="0" applyNumberFormat="1" applyFont="1" applyBorder="1" applyAlignment="1" applyProtection="1">
      <alignment horizontal="left" vertical="top" wrapText="1"/>
      <protection locked="0"/>
    </xf>
    <xf numFmtId="0" fontId="8" fillId="10" borderId="2" xfId="0" applyFont="1" applyFill="1" applyBorder="1" applyAlignment="1">
      <alignment horizontal="left" vertical="top"/>
    </xf>
    <xf numFmtId="0" fontId="8" fillId="10" borderId="3" xfId="0" applyFont="1" applyFill="1" applyBorder="1" applyAlignment="1">
      <alignment horizontal="left" vertical="top"/>
    </xf>
    <xf numFmtId="0" fontId="8" fillId="10" borderId="7" xfId="0" applyFont="1" applyFill="1" applyBorder="1" applyAlignment="1">
      <alignment horizontal="left" vertical="top"/>
    </xf>
    <xf numFmtId="0" fontId="3" fillId="0" borderId="45"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27" xfId="0" applyFont="1" applyBorder="1" applyAlignment="1">
      <alignment horizontal="center"/>
    </xf>
    <xf numFmtId="0" fontId="3" fillId="0" borderId="27" xfId="0" applyFont="1" applyBorder="1" applyAlignment="1">
      <alignment horizontal="left" vertical="top"/>
    </xf>
    <xf numFmtId="0" fontId="3" fillId="0" borderId="0" xfId="0" applyFont="1" applyFill="1" applyBorder="1" applyAlignment="1">
      <alignment horizontal="left" vertical="top"/>
    </xf>
    <xf numFmtId="0" fontId="3" fillId="0" borderId="22" xfId="0" applyNumberFormat="1" applyFont="1" applyBorder="1" applyAlignment="1">
      <alignment horizontal="left" vertical="top" wrapText="1"/>
    </xf>
    <xf numFmtId="0" fontId="3" fillId="0" borderId="20" xfId="0" applyNumberFormat="1" applyFont="1" applyBorder="1" applyAlignment="1">
      <alignment horizontal="left" vertical="top" wrapText="1"/>
    </xf>
    <xf numFmtId="0" fontId="3" fillId="0" borderId="45" xfId="0" applyNumberFormat="1" applyFont="1" applyBorder="1" applyAlignment="1">
      <alignment horizontal="left" vertical="top" wrapText="1"/>
    </xf>
    <xf numFmtId="0" fontId="3" fillId="0" borderId="44" xfId="0" applyNumberFormat="1" applyFont="1" applyBorder="1" applyAlignment="1">
      <alignment horizontal="left" vertical="top" wrapText="1"/>
    </xf>
    <xf numFmtId="0" fontId="3" fillId="0" borderId="46" xfId="0" applyFont="1" applyBorder="1" applyAlignment="1">
      <alignment horizontal="left" vertical="top" wrapText="1"/>
    </xf>
    <xf numFmtId="0" fontId="3" fillId="0" borderId="47" xfId="0" applyFont="1" applyBorder="1" applyAlignment="1">
      <alignment horizontal="left" vertical="top" wrapText="1"/>
    </xf>
    <xf numFmtId="0" fontId="3" fillId="0" borderId="28"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0" borderId="4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26" xfId="0" applyFont="1" applyFill="1" applyBorder="1" applyAlignment="1">
      <alignment horizontal="left" vertical="top" wrapText="1"/>
    </xf>
    <xf numFmtId="0" fontId="3" fillId="0" borderId="36" xfId="0" applyFont="1" applyBorder="1" applyAlignment="1">
      <alignment horizontal="left" vertical="top" wrapText="1"/>
    </xf>
    <xf numFmtId="0" fontId="3" fillId="0" borderId="16" xfId="0" applyFont="1" applyBorder="1" applyAlignment="1">
      <alignment horizontal="left" vertical="top" wrapText="1"/>
    </xf>
    <xf numFmtId="0" fontId="3" fillId="0" borderId="40"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3" fillId="0" borderId="56" xfId="0" applyNumberFormat="1" applyFont="1" applyBorder="1" applyAlignment="1">
      <alignment horizontal="left" vertical="top" wrapText="1"/>
    </xf>
    <xf numFmtId="0" fontId="3" fillId="0" borderId="51" xfId="0" applyNumberFormat="1" applyFont="1" applyBorder="1" applyAlignment="1">
      <alignment horizontal="left" vertical="top" wrapText="1"/>
    </xf>
    <xf numFmtId="0" fontId="3" fillId="2" borderId="25" xfId="0" applyFont="1" applyFill="1" applyBorder="1" applyAlignment="1">
      <alignment horizontal="center" vertical="top" wrapText="1"/>
    </xf>
    <xf numFmtId="0" fontId="3" fillId="2" borderId="26" xfId="0" applyFont="1" applyFill="1" applyBorder="1" applyAlignment="1">
      <alignment horizontal="center" vertical="top"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3" fontId="3" fillId="2" borderId="66" xfId="0" applyNumberFormat="1" applyFont="1" applyFill="1" applyBorder="1" applyAlignment="1" applyProtection="1">
      <alignment horizontal="center" vertical="center" wrapText="1"/>
    </xf>
    <xf numFmtId="3" fontId="3" fillId="2" borderId="36" xfId="0" applyNumberFormat="1" applyFont="1" applyFill="1" applyBorder="1" applyAlignment="1" applyProtection="1">
      <alignment horizontal="center" vertical="center" wrapText="1"/>
    </xf>
    <xf numFmtId="3" fontId="3" fillId="2" borderId="48" xfId="0" applyNumberFormat="1" applyFont="1" applyFill="1" applyBorder="1" applyAlignment="1" applyProtection="1">
      <alignment horizontal="center" vertical="center" wrapText="1"/>
    </xf>
    <xf numFmtId="3" fontId="3" fillId="2" borderId="16" xfId="0" applyNumberFormat="1" applyFont="1" applyFill="1" applyBorder="1" applyAlignment="1" applyProtection="1">
      <alignment horizontal="center" vertical="center" wrapText="1"/>
    </xf>
    <xf numFmtId="3" fontId="3" fillId="2" borderId="62" xfId="0" applyNumberFormat="1" applyFont="1" applyFill="1" applyBorder="1" applyAlignment="1" applyProtection="1">
      <alignment horizontal="center" vertical="center" wrapText="1"/>
    </xf>
    <xf numFmtId="3" fontId="3" fillId="2" borderId="40" xfId="0" applyNumberFormat="1" applyFont="1" applyFill="1" applyBorder="1" applyAlignment="1" applyProtection="1">
      <alignment horizontal="center" vertical="center" wrapText="1"/>
    </xf>
    <xf numFmtId="0" fontId="3" fillId="0" borderId="28" xfId="0" applyNumberFormat="1" applyFont="1" applyBorder="1" applyAlignment="1">
      <alignment horizontal="left" vertical="top" wrapText="1"/>
    </xf>
    <xf numFmtId="0" fontId="3" fillId="0" borderId="41" xfId="0" applyNumberFormat="1" applyFont="1" applyBorder="1" applyAlignment="1">
      <alignment horizontal="left" vertical="top" wrapText="1"/>
    </xf>
    <xf numFmtId="0" fontId="7" fillId="0" borderId="1" xfId="0" applyFont="1" applyBorder="1" applyAlignment="1">
      <alignment horizontal="left" vertical="top"/>
    </xf>
    <xf numFmtId="0" fontId="3" fillId="0" borderId="12" xfId="0" applyFont="1" applyFill="1" applyBorder="1" applyAlignment="1">
      <alignment horizontal="left" vertical="top" wrapText="1"/>
    </xf>
    <xf numFmtId="0" fontId="3" fillId="0" borderId="13" xfId="0" applyNumberFormat="1" applyFont="1" applyBorder="1" applyAlignment="1">
      <alignment horizontal="left" vertical="top" wrapText="1"/>
    </xf>
    <xf numFmtId="0" fontId="16" fillId="10" borderId="0" xfId="0" applyFont="1" applyFill="1" applyAlignment="1" applyProtection="1">
      <alignment horizontal="left"/>
    </xf>
    <xf numFmtId="14" fontId="10" fillId="0" borderId="1" xfId="0" applyNumberFormat="1" applyFont="1" applyBorder="1" applyAlignment="1" applyProtection="1">
      <alignment horizontal="left" vertical="center"/>
      <protection locked="0"/>
    </xf>
    <xf numFmtId="49" fontId="17" fillId="0" borderId="1" xfId="0" applyNumberFormat="1" applyFont="1" applyBorder="1" applyAlignment="1" applyProtection="1">
      <alignment horizontal="left" vertical="top"/>
    </xf>
    <xf numFmtId="0" fontId="3" fillId="2" borderId="25" xfId="0" applyFont="1" applyFill="1" applyBorder="1" applyAlignment="1" applyProtection="1">
      <alignment horizontal="center"/>
    </xf>
    <xf numFmtId="0" fontId="3" fillId="2" borderId="27" xfId="0" applyFont="1" applyFill="1" applyBorder="1" applyAlignment="1" applyProtection="1">
      <alignment horizontal="center"/>
    </xf>
    <xf numFmtId="0" fontId="3" fillId="2" borderId="26" xfId="0" applyFont="1" applyFill="1" applyBorder="1" applyAlignment="1" applyProtection="1">
      <alignment horizontal="center"/>
    </xf>
    <xf numFmtId="49" fontId="4" fillId="0" borderId="34" xfId="0" applyNumberFormat="1" applyFont="1" applyFill="1" applyBorder="1" applyAlignment="1" applyProtection="1">
      <alignment horizontal="left" vertical="top" wrapText="1"/>
      <protection locked="0"/>
    </xf>
    <xf numFmtId="49" fontId="4" fillId="0" borderId="11" xfId="0" applyNumberFormat="1" applyFont="1" applyFill="1" applyBorder="1" applyAlignment="1" applyProtection="1">
      <alignment horizontal="left" vertical="top" wrapText="1"/>
      <protection locked="0"/>
    </xf>
    <xf numFmtId="49" fontId="4" fillId="0" borderId="23" xfId="0" applyNumberFormat="1" applyFont="1" applyFill="1" applyBorder="1" applyAlignment="1" applyProtection="1">
      <alignment horizontal="left" vertical="top" wrapText="1"/>
      <protection locked="0"/>
    </xf>
    <xf numFmtId="0" fontId="4" fillId="2" borderId="25" xfId="0" applyFont="1" applyFill="1" applyBorder="1" applyAlignment="1" applyProtection="1">
      <alignment horizontal="left" vertical="center"/>
    </xf>
    <xf numFmtId="0" fontId="4" fillId="2" borderId="27"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3" fillId="3" borderId="46" xfId="0" applyFont="1" applyFill="1" applyBorder="1" applyAlignment="1" applyProtection="1">
      <alignment horizontal="left" vertical="top" wrapText="1"/>
    </xf>
    <xf numFmtId="0" fontId="3" fillId="3" borderId="42" xfId="0" applyFont="1" applyFill="1" applyBorder="1" applyAlignment="1" applyProtection="1">
      <alignment horizontal="left" vertical="top" wrapText="1"/>
    </xf>
    <xf numFmtId="0" fontId="3" fillId="3" borderId="3" xfId="0" applyFont="1" applyFill="1" applyBorder="1" applyAlignment="1" applyProtection="1">
      <alignment horizontal="left" vertical="top" wrapText="1"/>
    </xf>
    <xf numFmtId="0" fontId="3" fillId="3" borderId="15" xfId="0" applyFont="1" applyFill="1" applyBorder="1" applyAlignment="1" applyProtection="1">
      <alignment horizontal="left" vertical="top" wrapText="1"/>
    </xf>
    <xf numFmtId="0" fontId="3" fillId="3" borderId="50" xfId="0" applyFont="1" applyFill="1" applyBorder="1" applyAlignment="1" applyProtection="1">
      <alignment horizontal="left" vertical="top" wrapText="1"/>
    </xf>
    <xf numFmtId="0" fontId="3" fillId="3" borderId="40" xfId="0" applyFont="1" applyFill="1" applyBorder="1" applyAlignment="1" applyProtection="1">
      <alignment horizontal="left" vertical="top" wrapText="1"/>
    </xf>
    <xf numFmtId="0" fontId="6" fillId="2" borderId="25" xfId="0" applyFont="1" applyFill="1" applyBorder="1" applyAlignment="1">
      <alignment horizontal="center" vertical="top"/>
    </xf>
    <xf numFmtId="0" fontId="6" fillId="2" borderId="27" xfId="0" applyFont="1" applyFill="1" applyBorder="1" applyAlignment="1">
      <alignment horizontal="center" vertical="top"/>
    </xf>
    <xf numFmtId="0" fontId="6" fillId="2" borderId="26" xfId="0" applyFont="1" applyFill="1" applyBorder="1" applyAlignment="1">
      <alignment horizontal="center" vertical="top"/>
    </xf>
    <xf numFmtId="0" fontId="16" fillId="10" borderId="0" xfId="0" applyFont="1" applyFill="1" applyAlignment="1">
      <alignment horizontal="left"/>
    </xf>
    <xf numFmtId="0" fontId="4" fillId="2" borderId="25" xfId="0" applyFont="1" applyFill="1" applyBorder="1" applyAlignment="1">
      <alignment horizontal="left" vertical="center"/>
    </xf>
    <xf numFmtId="0" fontId="4" fillId="2" borderId="27" xfId="0" applyFont="1" applyFill="1" applyBorder="1" applyAlignment="1">
      <alignment horizontal="left" vertical="center"/>
    </xf>
    <xf numFmtId="0" fontId="4" fillId="2" borderId="26" xfId="0" applyFont="1" applyFill="1" applyBorder="1" applyAlignment="1">
      <alignment horizontal="left" vertical="center"/>
    </xf>
    <xf numFmtId="0" fontId="3" fillId="0" borderId="53" xfId="0" applyFont="1" applyFill="1" applyBorder="1" applyAlignment="1">
      <alignment horizontal="left" vertical="top" wrapText="1"/>
    </xf>
    <xf numFmtId="0" fontId="3" fillId="0" borderId="47" xfId="0" applyFont="1" applyFill="1" applyBorder="1" applyAlignment="1">
      <alignment horizontal="left" vertical="top" wrapText="1"/>
    </xf>
    <xf numFmtId="0" fontId="3" fillId="0" borderId="54"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0" borderId="52"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xf>
    <xf numFmtId="0" fontId="3" fillId="0" borderId="15" xfId="0" applyFont="1" applyFill="1" applyBorder="1" applyAlignment="1">
      <alignment horizontal="left" vertical="top"/>
    </xf>
    <xf numFmtId="0" fontId="30" fillId="10" borderId="0" xfId="0" applyFont="1" applyFill="1" applyAlignment="1">
      <alignment horizontal="left"/>
    </xf>
    <xf numFmtId="49" fontId="17" fillId="0" borderId="1" xfId="0" applyNumberFormat="1" applyFont="1" applyBorder="1" applyAlignment="1">
      <alignment horizontal="left" vertical="top"/>
    </xf>
    <xf numFmtId="0" fontId="3" fillId="0" borderId="3"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2" borderId="25" xfId="0" applyFont="1" applyFill="1" applyBorder="1" applyAlignment="1">
      <alignment horizontal="center"/>
    </xf>
    <xf numFmtId="0" fontId="3" fillId="2" borderId="27" xfId="0" applyFont="1" applyFill="1" applyBorder="1" applyAlignment="1">
      <alignment horizontal="center"/>
    </xf>
    <xf numFmtId="0" fontId="3" fillId="2" borderId="26" xfId="0" applyFont="1" applyFill="1" applyBorder="1" applyAlignment="1">
      <alignment horizontal="center"/>
    </xf>
    <xf numFmtId="0" fontId="3" fillId="3" borderId="23" xfId="0" applyFont="1" applyFill="1" applyBorder="1" applyAlignment="1">
      <alignment horizontal="left" vertical="top" wrapText="1"/>
    </xf>
    <xf numFmtId="0" fontId="3" fillId="3" borderId="46"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50" xfId="0" applyFont="1" applyFill="1" applyBorder="1" applyAlignment="1">
      <alignment horizontal="left" vertical="top" wrapText="1"/>
    </xf>
    <xf numFmtId="0" fontId="3" fillId="3" borderId="40" xfId="0" applyFont="1" applyFill="1" applyBorder="1" applyAlignment="1">
      <alignment horizontal="left" vertical="top" wrapText="1"/>
    </xf>
    <xf numFmtId="0" fontId="31" fillId="10" borderId="0" xfId="0" applyFont="1" applyFill="1" applyAlignment="1">
      <alignment horizontal="left"/>
    </xf>
    <xf numFmtId="0" fontId="4" fillId="2" borderId="25" xfId="0" applyFont="1" applyFill="1" applyBorder="1" applyAlignment="1">
      <alignment horizontal="left" vertical="top"/>
    </xf>
    <xf numFmtId="0" fontId="4" fillId="2" borderId="27" xfId="0" applyFont="1" applyFill="1" applyBorder="1" applyAlignment="1">
      <alignment horizontal="left" vertical="top"/>
    </xf>
    <xf numFmtId="0" fontId="4" fillId="2" borderId="26" xfId="0" applyFont="1" applyFill="1" applyBorder="1" applyAlignment="1">
      <alignment horizontal="left" vertical="top"/>
    </xf>
    <xf numFmtId="0" fontId="3" fillId="3" borderId="63" xfId="0" applyFont="1" applyFill="1" applyBorder="1" applyAlignment="1">
      <alignment horizontal="left" vertical="top" wrapText="1"/>
    </xf>
    <xf numFmtId="0" fontId="3" fillId="3" borderId="65" xfId="0" applyFont="1" applyFill="1" applyBorder="1" applyAlignment="1">
      <alignment horizontal="left" vertical="top" wrapText="1"/>
    </xf>
    <xf numFmtId="0" fontId="3" fillId="3" borderId="64" xfId="0" applyFont="1" applyFill="1" applyBorder="1" applyAlignment="1">
      <alignment horizontal="left" vertical="top" wrapText="1"/>
    </xf>
    <xf numFmtId="0" fontId="3" fillId="3" borderId="47" xfId="0" applyFont="1" applyFill="1" applyBorder="1" applyAlignment="1">
      <alignment horizontal="left" vertical="top" wrapText="1"/>
    </xf>
    <xf numFmtId="0" fontId="3" fillId="3" borderId="54" xfId="0" applyFont="1" applyFill="1" applyBorder="1" applyAlignment="1">
      <alignment horizontal="left" vertical="top" wrapText="1"/>
    </xf>
    <xf numFmtId="49" fontId="3" fillId="0" borderId="34" xfId="0" applyNumberFormat="1" applyFont="1" applyFill="1" applyBorder="1" applyAlignment="1" applyProtection="1">
      <alignment horizontal="left" vertical="top" wrapText="1"/>
      <protection locked="0"/>
    </xf>
    <xf numFmtId="49" fontId="3" fillId="0" borderId="11" xfId="0" applyNumberFormat="1" applyFont="1" applyFill="1" applyBorder="1" applyAlignment="1" applyProtection="1">
      <alignment horizontal="left" vertical="top" wrapText="1"/>
      <protection locked="0"/>
    </xf>
    <xf numFmtId="49" fontId="3" fillId="0" borderId="23" xfId="0" applyNumberFormat="1" applyFont="1" applyFill="1" applyBorder="1" applyAlignment="1" applyProtection="1">
      <alignment horizontal="left" vertical="top" wrapText="1"/>
      <protection locked="0"/>
    </xf>
    <xf numFmtId="0" fontId="3" fillId="3" borderId="62" xfId="0" applyFont="1" applyFill="1" applyBorder="1" applyAlignment="1">
      <alignment horizontal="left" vertical="top" wrapText="1"/>
    </xf>
    <xf numFmtId="0" fontId="3" fillId="2" borderId="66" xfId="0" applyNumberFormat="1" applyFont="1" applyFill="1" applyBorder="1" applyAlignment="1">
      <alignment horizontal="center" vertical="center"/>
    </xf>
    <xf numFmtId="0" fontId="3" fillId="2" borderId="49" xfId="0" applyNumberFormat="1" applyFont="1" applyFill="1" applyBorder="1" applyAlignment="1">
      <alignment horizontal="center" vertical="center"/>
    </xf>
    <xf numFmtId="0" fontId="3" fillId="2" borderId="36" xfId="0" applyNumberFormat="1" applyFont="1" applyFill="1" applyBorder="1" applyAlignment="1">
      <alignment horizontal="center" vertical="center"/>
    </xf>
    <xf numFmtId="0" fontId="4" fillId="2" borderId="27" xfId="0" applyFont="1" applyFill="1" applyBorder="1" applyAlignment="1">
      <alignment horizontal="center" vertical="center" wrapText="1"/>
    </xf>
    <xf numFmtId="3" fontId="23" fillId="4" borderId="25" xfId="0" applyNumberFormat="1" applyFont="1" applyFill="1" applyBorder="1" applyAlignment="1" applyProtection="1">
      <alignment horizontal="center" vertical="center" wrapText="1"/>
    </xf>
    <xf numFmtId="3" fontId="23" fillId="4" borderId="26" xfId="0" applyNumberFormat="1" applyFont="1" applyFill="1" applyBorder="1" applyAlignment="1" applyProtection="1">
      <alignment horizontal="center" vertical="center" wrapText="1"/>
    </xf>
    <xf numFmtId="49" fontId="19" fillId="11" borderId="25" xfId="0" applyNumberFormat="1" applyFont="1" applyFill="1" applyBorder="1" applyAlignment="1" applyProtection="1">
      <alignment horizontal="center" vertical="center"/>
      <protection locked="0"/>
    </xf>
    <xf numFmtId="49" fontId="19" fillId="11" borderId="26" xfId="0" applyNumberFormat="1" applyFont="1" applyFill="1" applyBorder="1" applyAlignment="1" applyProtection="1">
      <alignment horizontal="center" vertical="center"/>
      <protection locked="0"/>
    </xf>
    <xf numFmtId="49" fontId="3" fillId="3" borderId="34" xfId="0" applyNumberFormat="1" applyFont="1" applyFill="1" applyBorder="1" applyAlignment="1" applyProtection="1">
      <alignment horizontal="left" vertical="top" wrapText="1"/>
      <protection locked="0"/>
    </xf>
    <xf numFmtId="49" fontId="3" fillId="3" borderId="11" xfId="0" applyNumberFormat="1" applyFont="1" applyFill="1" applyBorder="1" applyAlignment="1" applyProtection="1">
      <alignment horizontal="left" vertical="top" wrapText="1"/>
      <protection locked="0"/>
    </xf>
    <xf numFmtId="49" fontId="3" fillId="3" borderId="23" xfId="0" applyNumberFormat="1" applyFont="1" applyFill="1" applyBorder="1" applyAlignment="1" applyProtection="1">
      <alignment horizontal="left" vertical="top" wrapText="1"/>
      <protection locked="0"/>
    </xf>
    <xf numFmtId="0" fontId="3" fillId="2" borderId="25"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2" borderId="26" xfId="0" applyNumberFormat="1" applyFont="1" applyFill="1" applyBorder="1" applyAlignment="1">
      <alignment horizontal="center" vertical="center"/>
    </xf>
    <xf numFmtId="0" fontId="18" fillId="2" borderId="66" xfId="0" applyNumberFormat="1" applyFont="1" applyFill="1" applyBorder="1" applyAlignment="1" applyProtection="1">
      <alignment horizontal="center" vertical="center"/>
    </xf>
    <xf numFmtId="0" fontId="18" fillId="2" borderId="36" xfId="0" applyNumberFormat="1" applyFont="1" applyFill="1" applyBorder="1" applyAlignment="1" applyProtection="1">
      <alignment horizontal="center" vertical="center"/>
    </xf>
    <xf numFmtId="0" fontId="18" fillId="2" borderId="62" xfId="0" applyNumberFormat="1" applyFont="1" applyFill="1" applyBorder="1" applyAlignment="1" applyProtection="1">
      <alignment horizontal="center" vertical="center"/>
    </xf>
    <xf numFmtId="0" fontId="18" fillId="2" borderId="40" xfId="0" applyNumberFormat="1" applyFont="1" applyFill="1" applyBorder="1" applyAlignment="1" applyProtection="1">
      <alignment horizontal="center" vertical="center"/>
    </xf>
    <xf numFmtId="0" fontId="20" fillId="14" borderId="31" xfId="0" applyFont="1" applyFill="1" applyBorder="1" applyAlignment="1">
      <alignment horizontal="left" vertical="top" wrapText="1"/>
    </xf>
    <xf numFmtId="0" fontId="20" fillId="14" borderId="22" xfId="0" applyFont="1" applyFill="1" applyBorder="1" applyAlignment="1">
      <alignment horizontal="left" vertical="top" wrapText="1"/>
    </xf>
    <xf numFmtId="0" fontId="20" fillId="14" borderId="24" xfId="0" applyFont="1" applyFill="1" applyBorder="1" applyAlignment="1">
      <alignment horizontal="left" vertical="top" wrapText="1"/>
    </xf>
    <xf numFmtId="0" fontId="1" fillId="13" borderId="25" xfId="0" applyFont="1" applyFill="1" applyBorder="1" applyAlignment="1">
      <alignment horizontal="center"/>
    </xf>
    <xf numFmtId="0" fontId="1" fillId="13" borderId="27" xfId="0" applyFont="1" applyFill="1" applyBorder="1" applyAlignment="1">
      <alignment horizontal="center"/>
    </xf>
    <xf numFmtId="0" fontId="1" fillId="13" borderId="26" xfId="0" applyFont="1" applyFill="1" applyBorder="1" applyAlignment="1">
      <alignment horizont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7" xfId="0" applyFont="1" applyFill="1" applyBorder="1" applyAlignment="1">
      <alignment horizontal="left" vertical="center"/>
    </xf>
    <xf numFmtId="0" fontId="15" fillId="8" borderId="0" xfId="0" applyFont="1" applyFill="1" applyAlignment="1">
      <alignment horizontal="left" vertical="top"/>
    </xf>
    <xf numFmtId="0" fontId="1" fillId="2" borderId="3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40" xfId="0" applyFont="1" applyFill="1" applyBorder="1" applyAlignment="1">
      <alignment horizontal="center" vertical="center"/>
    </xf>
  </cellXfs>
  <cellStyles count="3">
    <cellStyle name="Link" xfId="2" builtinId="8"/>
    <cellStyle name="Standard" xfId="0" builtinId="0"/>
    <cellStyle name="Standard 4" xfId="1" xr:uid="{00000000-0005-0000-0000-000002000000}"/>
  </cellStyles>
  <dxfs count="0"/>
  <tableStyles count="0" defaultTableStyle="TableStyleMedium2" defaultPivotStyle="PivotStyleLight16"/>
  <colors>
    <mruColors>
      <color rgb="FF5F2C09"/>
      <color rgb="FFFF7979"/>
      <color rgb="FFFFD5D5"/>
      <color rgb="FF9191B5"/>
      <color rgb="FFD4D4E2"/>
      <color rgb="FFCC0000"/>
      <color rgb="FF595985"/>
      <color rgb="FFFF5757"/>
      <color rgb="FFBD92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9">
    <tabColor theme="5"/>
  </sheetPr>
  <dimension ref="A1:E29"/>
  <sheetViews>
    <sheetView workbookViewId="0">
      <selection activeCell="F21" sqref="F21"/>
    </sheetView>
  </sheetViews>
  <sheetFormatPr baseColWidth="10" defaultRowHeight="14" x14ac:dyDescent="0.3"/>
  <cols>
    <col min="3" max="3" width="14.33203125" bestFit="1" customWidth="1"/>
  </cols>
  <sheetData>
    <row r="1" spans="1:5" x14ac:dyDescent="0.3">
      <c r="A1" s="120" t="s">
        <v>30</v>
      </c>
    </row>
    <row r="3" spans="1:5" x14ac:dyDescent="0.3">
      <c r="A3" s="122" t="s">
        <v>36</v>
      </c>
      <c r="C3" s="123" t="s">
        <v>37</v>
      </c>
      <c r="E3" s="123" t="s">
        <v>32</v>
      </c>
    </row>
    <row r="4" spans="1:5" x14ac:dyDescent="0.3">
      <c r="A4" s="167" t="s">
        <v>7</v>
      </c>
      <c r="C4" s="124" t="s">
        <v>33</v>
      </c>
      <c r="E4" s="168" t="s">
        <v>33</v>
      </c>
    </row>
    <row r="5" spans="1:5" x14ac:dyDescent="0.3">
      <c r="A5" s="121" t="s">
        <v>6</v>
      </c>
      <c r="C5" s="124" t="s">
        <v>139</v>
      </c>
      <c r="E5" s="124" t="s">
        <v>139</v>
      </c>
    </row>
    <row r="6" spans="1:5" x14ac:dyDescent="0.3">
      <c r="A6" s="121" t="s">
        <v>5</v>
      </c>
      <c r="C6" s="124" t="s">
        <v>140</v>
      </c>
      <c r="E6" s="124" t="s">
        <v>140</v>
      </c>
    </row>
    <row r="7" spans="1:5" x14ac:dyDescent="0.3">
      <c r="A7" s="121" t="s">
        <v>8</v>
      </c>
    </row>
    <row r="8" spans="1:5" x14ac:dyDescent="0.3">
      <c r="A8" s="121" t="s">
        <v>9</v>
      </c>
      <c r="C8" s="123" t="s">
        <v>31</v>
      </c>
      <c r="E8" s="123" t="s">
        <v>41</v>
      </c>
    </row>
    <row r="9" spans="1:5" x14ac:dyDescent="0.3">
      <c r="A9" s="121" t="s">
        <v>10</v>
      </c>
      <c r="C9" s="168" t="s">
        <v>33</v>
      </c>
      <c r="E9" s="168" t="s">
        <v>33</v>
      </c>
    </row>
    <row r="10" spans="1:5" x14ac:dyDescent="0.3">
      <c r="A10" s="121" t="s">
        <v>11</v>
      </c>
      <c r="C10" s="124" t="s">
        <v>139</v>
      </c>
      <c r="E10" s="264" t="s">
        <v>135</v>
      </c>
    </row>
    <row r="11" spans="1:5" x14ac:dyDescent="0.3">
      <c r="A11" s="121" t="s">
        <v>12</v>
      </c>
      <c r="C11" s="124" t="s">
        <v>140</v>
      </c>
      <c r="E11" s="263" t="s">
        <v>134</v>
      </c>
    </row>
    <row r="12" spans="1:5" x14ac:dyDescent="0.3">
      <c r="A12" s="121" t="s">
        <v>3</v>
      </c>
      <c r="C12" s="124" t="s">
        <v>141</v>
      </c>
      <c r="E12" s="262"/>
    </row>
    <row r="13" spans="1:5" x14ac:dyDescent="0.3">
      <c r="A13" s="121" t="s">
        <v>13</v>
      </c>
    </row>
    <row r="14" spans="1:5" x14ac:dyDescent="0.3">
      <c r="A14" s="121" t="s">
        <v>14</v>
      </c>
    </row>
    <row r="15" spans="1:5" x14ac:dyDescent="0.3">
      <c r="A15" s="121" t="s">
        <v>15</v>
      </c>
    </row>
    <row r="16" spans="1:5" x14ac:dyDescent="0.3">
      <c r="A16" s="121" t="s">
        <v>16</v>
      </c>
    </row>
    <row r="17" spans="1:1" x14ac:dyDescent="0.3">
      <c r="A17" s="121" t="s">
        <v>17</v>
      </c>
    </row>
    <row r="18" spans="1:1" x14ac:dyDescent="0.3">
      <c r="A18" s="121" t="s">
        <v>18</v>
      </c>
    </row>
    <row r="19" spans="1:1" x14ac:dyDescent="0.3">
      <c r="A19" s="121" t="s">
        <v>19</v>
      </c>
    </row>
    <row r="20" spans="1:1" x14ac:dyDescent="0.3">
      <c r="A20" s="121" t="s">
        <v>20</v>
      </c>
    </row>
    <row r="21" spans="1:1" x14ac:dyDescent="0.3">
      <c r="A21" s="121" t="s">
        <v>21</v>
      </c>
    </row>
    <row r="22" spans="1:1" x14ac:dyDescent="0.3">
      <c r="A22" s="121" t="s">
        <v>22</v>
      </c>
    </row>
    <row r="23" spans="1:1" x14ac:dyDescent="0.3">
      <c r="A23" s="121" t="s">
        <v>23</v>
      </c>
    </row>
    <row r="24" spans="1:1" x14ac:dyDescent="0.3">
      <c r="A24" s="121" t="s">
        <v>24</v>
      </c>
    </row>
    <row r="25" spans="1:1" x14ac:dyDescent="0.3">
      <c r="A25" s="121" t="s">
        <v>25</v>
      </c>
    </row>
    <row r="26" spans="1:1" x14ac:dyDescent="0.3">
      <c r="A26" s="121" t="s">
        <v>26</v>
      </c>
    </row>
    <row r="27" spans="1:1" x14ac:dyDescent="0.3">
      <c r="A27" s="121" t="s">
        <v>27</v>
      </c>
    </row>
    <row r="28" spans="1:1" x14ac:dyDescent="0.3">
      <c r="A28" s="121" t="s">
        <v>28</v>
      </c>
    </row>
    <row r="29" spans="1:1" x14ac:dyDescent="0.3">
      <c r="A29" s="121" t="s">
        <v>29</v>
      </c>
    </row>
  </sheetData>
  <customSheetViews>
    <customSheetView guid="{168849A9-FED9-4458-942F-290616B3A25C}" state="hidden">
      <selection activeCell="E17" sqref="E17:E18"/>
      <pageMargins left="0.7" right="0.7" top="0.78740157499999996" bottom="0.78740157499999996" header="0.3" footer="0.3"/>
      <pageSetup paperSize="9" orientation="portrait" horizontalDpi="90" verticalDpi="90" r:id="rId1"/>
    </customSheetView>
  </customSheetViews>
  <pageMargins left="0.7" right="0.7" top="0.78740157499999996" bottom="0.78740157499999996"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0" tint="-0.499984740745262"/>
    <pageSetUpPr fitToPage="1"/>
  </sheetPr>
  <dimension ref="B1:G31"/>
  <sheetViews>
    <sheetView showGridLines="0" tabSelected="1" zoomScale="70" zoomScaleNormal="70" workbookViewId="0">
      <selection activeCell="C30" sqref="C30:G30"/>
    </sheetView>
  </sheetViews>
  <sheetFormatPr baseColWidth="10" defaultColWidth="10.58203125" defaultRowHeight="14" x14ac:dyDescent="0.3"/>
  <cols>
    <col min="1" max="1" width="2.08203125" style="203" customWidth="1"/>
    <col min="2" max="2" width="14.58203125" style="203" customWidth="1"/>
    <col min="3" max="3" width="26" style="203" customWidth="1"/>
    <col min="4" max="4" width="71.5" style="203" customWidth="1"/>
    <col min="5" max="6" width="10.58203125" style="203"/>
    <col min="7" max="7" width="29.5" style="203" customWidth="1"/>
    <col min="8" max="8" width="2.08203125" style="203" customWidth="1"/>
    <col min="9" max="16384" width="10.58203125" style="203"/>
  </cols>
  <sheetData>
    <row r="1" spans="2:7" ht="30.5" thickBot="1" x14ac:dyDescent="0.35">
      <c r="B1" s="390" t="s">
        <v>191</v>
      </c>
      <c r="C1" s="391"/>
      <c r="D1" s="392"/>
    </row>
    <row r="2" spans="2:7" ht="14.5" thickBot="1" x14ac:dyDescent="0.35"/>
    <row r="3" spans="2:7" ht="28.5" customHeight="1" x14ac:dyDescent="0.6">
      <c r="B3" s="393" t="s">
        <v>42</v>
      </c>
      <c r="C3" s="394"/>
      <c r="D3" s="204" t="s">
        <v>43</v>
      </c>
    </row>
    <row r="4" spans="2:7" ht="28.5" customHeight="1" thickBot="1" x14ac:dyDescent="0.6">
      <c r="B4" s="395"/>
      <c r="C4" s="396"/>
      <c r="D4" s="308" t="s">
        <v>36</v>
      </c>
    </row>
    <row r="5" spans="2:7" ht="18.649999999999999" customHeight="1" thickBot="1" x14ac:dyDescent="0.65">
      <c r="C5" s="205"/>
      <c r="D5" s="206"/>
    </row>
    <row r="6" spans="2:7" ht="28.5" customHeight="1" thickBot="1" x14ac:dyDescent="0.35">
      <c r="B6" s="387" t="s">
        <v>44</v>
      </c>
      <c r="C6" s="388"/>
      <c r="D6" s="389"/>
    </row>
    <row r="7" spans="2:7" ht="28.5" customHeight="1" thickBot="1" x14ac:dyDescent="0.35">
      <c r="B7" s="397"/>
      <c r="C7" s="398"/>
      <c r="D7" s="309"/>
    </row>
    <row r="8" spans="2:7" ht="14.5" thickBot="1" x14ac:dyDescent="0.35"/>
    <row r="9" spans="2:7" ht="28.5" customHeight="1" x14ac:dyDescent="0.3">
      <c r="B9" s="387" t="s">
        <v>45</v>
      </c>
      <c r="C9" s="388"/>
      <c r="D9" s="389"/>
    </row>
    <row r="10" spans="2:7" ht="28.5" customHeight="1" thickBot="1" x14ac:dyDescent="0.35">
      <c r="B10" s="207" t="s">
        <v>46</v>
      </c>
      <c r="C10" s="399"/>
      <c r="D10" s="400"/>
    </row>
    <row r="11" spans="2:7" ht="28.5" customHeight="1" thickBot="1" x14ac:dyDescent="0.35">
      <c r="B11" s="208" t="s">
        <v>47</v>
      </c>
      <c r="C11" s="401"/>
      <c r="D11" s="402"/>
    </row>
    <row r="12" spans="2:7" ht="28.5" customHeight="1" thickBot="1" x14ac:dyDescent="0.35">
      <c r="B12" s="208" t="s">
        <v>48</v>
      </c>
      <c r="C12" s="401"/>
      <c r="D12" s="402"/>
    </row>
    <row r="14" spans="2:7" ht="14.5" thickBot="1" x14ac:dyDescent="0.35"/>
    <row r="15" spans="2:7" ht="25.5" thickBot="1" x14ac:dyDescent="0.55000000000000004">
      <c r="B15" s="209" t="s">
        <v>236</v>
      </c>
      <c r="C15" s="385" t="s">
        <v>237</v>
      </c>
      <c r="D15" s="386"/>
      <c r="E15" s="386"/>
      <c r="F15" s="386"/>
      <c r="G15" s="266"/>
    </row>
    <row r="16" spans="2:7" ht="23.15" customHeight="1" x14ac:dyDescent="0.3">
      <c r="B16" s="265">
        <v>1</v>
      </c>
      <c r="C16" s="382" t="s">
        <v>49</v>
      </c>
      <c r="D16" s="383"/>
      <c r="E16" s="383"/>
      <c r="F16" s="383"/>
      <c r="G16" s="384"/>
    </row>
    <row r="17" spans="2:7" ht="22.5" x14ac:dyDescent="0.3">
      <c r="B17" s="267">
        <v>2</v>
      </c>
      <c r="C17" s="376" t="s">
        <v>50</v>
      </c>
      <c r="D17" s="377"/>
      <c r="E17" s="377"/>
      <c r="F17" s="377"/>
      <c r="G17" s="378"/>
    </row>
    <row r="18" spans="2:7" ht="23.15" customHeight="1" x14ac:dyDescent="0.3">
      <c r="B18" s="210">
        <v>3</v>
      </c>
      <c r="C18" s="376" t="s">
        <v>51</v>
      </c>
      <c r="D18" s="377"/>
      <c r="E18" s="377"/>
      <c r="F18" s="377"/>
      <c r="G18" s="378"/>
    </row>
    <row r="19" spans="2:7" ht="23.25" customHeight="1" x14ac:dyDescent="0.3">
      <c r="B19" s="211">
        <v>4</v>
      </c>
      <c r="C19" s="376" t="s">
        <v>52</v>
      </c>
      <c r="D19" s="377"/>
      <c r="E19" s="377"/>
      <c r="F19" s="377"/>
      <c r="G19" s="378"/>
    </row>
    <row r="20" spans="2:7" ht="23.25" customHeight="1" x14ac:dyDescent="0.3">
      <c r="B20" s="211">
        <v>5</v>
      </c>
      <c r="C20" s="376" t="s">
        <v>53</v>
      </c>
      <c r="D20" s="377"/>
      <c r="E20" s="377"/>
      <c r="F20" s="377"/>
      <c r="G20" s="378"/>
    </row>
    <row r="21" spans="2:7" ht="23.25" customHeight="1" x14ac:dyDescent="0.3">
      <c r="B21" s="211">
        <v>6</v>
      </c>
      <c r="C21" s="376" t="s">
        <v>54</v>
      </c>
      <c r="D21" s="377"/>
      <c r="E21" s="377"/>
      <c r="F21" s="377"/>
      <c r="G21" s="378"/>
    </row>
    <row r="22" spans="2:7" ht="23.25" customHeight="1" x14ac:dyDescent="0.3">
      <c r="B22" s="211">
        <v>7</v>
      </c>
      <c r="C22" s="376" t="s">
        <v>55</v>
      </c>
      <c r="D22" s="377"/>
      <c r="E22" s="377"/>
      <c r="F22" s="377"/>
      <c r="G22" s="378"/>
    </row>
    <row r="23" spans="2:7" ht="23.25" customHeight="1" x14ac:dyDescent="0.3">
      <c r="B23" s="211">
        <v>8</v>
      </c>
      <c r="C23" s="376" t="s">
        <v>157</v>
      </c>
      <c r="D23" s="377"/>
      <c r="E23" s="377"/>
      <c r="F23" s="377"/>
      <c r="G23" s="378"/>
    </row>
    <row r="24" spans="2:7" ht="23.25" customHeight="1" x14ac:dyDescent="0.3">
      <c r="B24" s="211">
        <v>9</v>
      </c>
      <c r="C24" s="376" t="s">
        <v>56</v>
      </c>
      <c r="D24" s="377"/>
      <c r="E24" s="377"/>
      <c r="F24" s="377"/>
      <c r="G24" s="378"/>
    </row>
    <row r="25" spans="2:7" ht="23.25" customHeight="1" x14ac:dyDescent="0.3">
      <c r="B25" s="211">
        <v>10</v>
      </c>
      <c r="C25" s="376" t="s">
        <v>57</v>
      </c>
      <c r="D25" s="377"/>
      <c r="E25" s="377"/>
      <c r="F25" s="377"/>
      <c r="G25" s="378"/>
    </row>
    <row r="26" spans="2:7" ht="23.25" customHeight="1" x14ac:dyDescent="0.3">
      <c r="B26" s="211">
        <v>11</v>
      </c>
      <c r="C26" s="376" t="s">
        <v>58</v>
      </c>
      <c r="D26" s="377"/>
      <c r="E26" s="377"/>
      <c r="F26" s="377"/>
      <c r="G26" s="378"/>
    </row>
    <row r="27" spans="2:7" ht="23.25" customHeight="1" x14ac:dyDescent="0.3">
      <c r="B27" s="211">
        <v>12</v>
      </c>
      <c r="C27" s="376" t="s">
        <v>59</v>
      </c>
      <c r="D27" s="377"/>
      <c r="E27" s="377"/>
      <c r="F27" s="377"/>
      <c r="G27" s="378"/>
    </row>
    <row r="28" spans="2:7" ht="23.25" customHeight="1" x14ac:dyDescent="0.3">
      <c r="B28" s="211">
        <v>13</v>
      </c>
      <c r="C28" s="376" t="s">
        <v>60</v>
      </c>
      <c r="D28" s="377"/>
      <c r="E28" s="377"/>
      <c r="F28" s="377"/>
      <c r="G28" s="378"/>
    </row>
    <row r="29" spans="2:7" ht="23.25" customHeight="1" x14ac:dyDescent="0.3">
      <c r="B29" s="211">
        <v>14</v>
      </c>
      <c r="C29" s="376" t="s">
        <v>61</v>
      </c>
      <c r="D29" s="377"/>
      <c r="E29" s="377"/>
      <c r="F29" s="377"/>
      <c r="G29" s="378"/>
    </row>
    <row r="30" spans="2:7" ht="23.25" customHeight="1" thickBot="1" x14ac:dyDescent="0.35">
      <c r="B30" s="375">
        <v>15</v>
      </c>
      <c r="C30" s="379" t="s">
        <v>62</v>
      </c>
      <c r="D30" s="380"/>
      <c r="E30" s="380"/>
      <c r="F30" s="380"/>
      <c r="G30" s="381"/>
    </row>
    <row r="31" spans="2:7" ht="23.5" customHeight="1" x14ac:dyDescent="0.3"/>
  </sheetData>
  <sheetProtection algorithmName="SHA-512" hashValue="gSdvMkPM1G4QlGiIpXZJn9ysxAfXv/qjomJNyHpHkto6r42FwGZhzns1L3t87M8Z4WiMBQDj1UtOvq1iOkNwcQ==" saltValue="vjVlozejiloH7xFZXkYq7g==" spinCount="100000" sheet="1" selectLockedCells="1"/>
  <customSheetViews>
    <customSheetView guid="{168849A9-FED9-4458-942F-290616B3A25C}" scale="60" showPageBreaks="1" showGridLines="0" fitToPage="1" printArea="1" topLeftCell="A10">
      <selection activeCell="M12" sqref="M12"/>
      <pageMargins left="0.70866141732283472" right="0.70866141732283472" top="1.1811023622047245" bottom="0.78740157480314965" header="0.31496062992125984" footer="0.31496062992125984"/>
      <pageSetup paperSize="9" scale="63" orientation="portrait" horizontalDpi="90" verticalDpi="90" r:id="rId1"/>
      <headerFooter>
        <oddHeader>&amp;LKennzahlenraster KIP IAS&amp;R&amp;G</oddHeader>
        <oddFooter>&amp;L&amp;A&amp;R&amp;P</oddFooter>
      </headerFooter>
    </customSheetView>
  </customSheetViews>
  <mergeCells count="25">
    <mergeCell ref="C16:G16"/>
    <mergeCell ref="C15:F15"/>
    <mergeCell ref="B9:D9"/>
    <mergeCell ref="B1:D1"/>
    <mergeCell ref="B3:C3"/>
    <mergeCell ref="B6:D6"/>
    <mergeCell ref="B4:C4"/>
    <mergeCell ref="B7:C7"/>
    <mergeCell ref="C10:D10"/>
    <mergeCell ref="C11:D11"/>
    <mergeCell ref="C12:D12"/>
    <mergeCell ref="C17:G17"/>
    <mergeCell ref="C18:G18"/>
    <mergeCell ref="C19:G19"/>
    <mergeCell ref="C20:G20"/>
    <mergeCell ref="C21:G21"/>
    <mergeCell ref="C27:G27"/>
    <mergeCell ref="C28:G28"/>
    <mergeCell ref="C29:G29"/>
    <mergeCell ref="C30:G30"/>
    <mergeCell ref="C22:G22"/>
    <mergeCell ref="C23:G23"/>
    <mergeCell ref="C24:G24"/>
    <mergeCell ref="C25:G25"/>
    <mergeCell ref="C26:G26"/>
  </mergeCells>
  <dataValidations xWindow="391" yWindow="600" count="3">
    <dataValidation showInputMessage="1" showErrorMessage="1" errorTitle="Freigabe" error="Bitte Name der zuständigen Person angeben" promptTitle="Freigabe" prompt="Bitte Name der zuständigen Person angeben" sqref="B10:B12" xr:uid="{00000000-0002-0000-0100-000000000000}"/>
    <dataValidation type="date" allowBlank="1" showInputMessage="1" showErrorMessage="1" error="Veuillez saisir une date de saisie comprise entre le 01.01.2024 et le 31.12.2024" promptTitle="Autorisation" prompt="Veuillez indiquer la date de l'autorisation par la personne responsable" sqref="D7" xr:uid="{00000000-0002-0000-0100-000002000000}">
      <formula1>45292</formula1>
      <formula2>45657</formula2>
    </dataValidation>
    <dataValidation showInputMessage="1" showErrorMessage="1" errorTitle="Freigabe" error="Bitte Kontaktangaben der zuständigen Person angeben" sqref="C10" xr:uid="{C9F5D779-AE31-4A5F-9728-58FA5234FA93}"/>
  </dataValidations>
  <hyperlinks>
    <hyperlink ref="C18:D18" location="'Überblick IAS Kennzahlen'!Print_Area" display="Überblick IAS-Kennzahlen" xr:uid="{00000000-0004-0000-0100-00000C000000}"/>
    <hyperlink ref="C19" location="'Ind AIS N°1'!Print_Area" display="Indicateur AIS N°1: «Primo-information»" xr:uid="{00000000-0004-0000-0100-00000D000000}"/>
    <hyperlink ref="C17" location="'Indicateurs PIC'!Print_Area" display="Indicateurs PIC" xr:uid="{00000000-0004-0000-0100-00000E000000}"/>
    <hyperlink ref="C18" location="'Sommaire Indicateurs AIS'!Print_Area" display="Sommaire Indicateurs AIS" xr:uid="{00000000-0004-0000-0100-00000F000000}"/>
    <hyperlink ref="C20" location="'Ind AIS N°2'!Print_Area" display="Indicateur AIS N°2: «Experience professionnelle» " xr:uid="{00000000-0004-0000-0100-000010000000}"/>
    <hyperlink ref="C21" location="'Ind AIS N°3'!Print_Area" display="Indicateur AIS N°3: «Formation»" xr:uid="{00000000-0004-0000-0100-000011000000}"/>
    <hyperlink ref="C22" location="'Ind AIS N°4'!Print_Area" display="Indicateur AIS N°4: «Alphabétisation»" xr:uid="{00000000-0004-0000-0100-000012000000}"/>
    <hyperlink ref="C23" location="'Ind AIS N°5'!Print_Area" display="Indicateur AIS N°5: «Potentiél»" xr:uid="{00000000-0004-0000-0100-000013000000}"/>
    <hyperlink ref="C24" location="'Ind AIS N°6'!Print_Area" display="Indicateur AIS N°6: «Dossiers ouverts»" xr:uid="{00000000-0004-0000-0100-000014000000}"/>
    <hyperlink ref="C25" location="'Ind AIS N°7'!Print_Area" display="Indicateur AIS N°7: «Encouragement de l'apprentissage de la langue chez les adultes»" xr:uid="{00000000-0004-0000-0100-000015000000}"/>
    <hyperlink ref="C26" location="'Ind AIS N°8'!Print_Area" display="Indicateur AIS N°8: «Niveau de langue chez les adultes»" xr:uid="{00000000-0004-0000-0100-000016000000}"/>
    <hyperlink ref="C27" location="'Ind AIS N°9'!Print_Area" display="Indicateur AIS N°9: «Encouragement de l'apprentissage de la langue chez les enfants d'âge préscolaire»" xr:uid="{00000000-0004-0000-0100-000017000000}"/>
    <hyperlink ref="C28" location="'Ind AIS N°11a'!Print_Area" display="Indicateur AIS N°11a: «Encouragement de l'aptitude à la formation» (16-25 ans)" xr:uid="{00000000-0004-0000-0100-000018000000}"/>
    <hyperlink ref="C29" location="'Ind AIS N°11b'!Print_Area" display="Indicateur AIS N°11b: «Encouragement de l'employabilité» (26-55 ans)" xr:uid="{00000000-0004-0000-0100-000019000000}"/>
    <hyperlink ref="C30" location="'Ind AIS N°14'!A1" display="Indicateur AIS N°14: «Vivre-ensemble»" xr:uid="{00000000-0004-0000-0100-00001A000000}"/>
  </hyperlinks>
  <pageMargins left="0.70866141732283472" right="0.70866141732283472" top="1.1811023622047245" bottom="0.78740157480314965" header="0.31496062992125984" footer="0.31496062992125984"/>
  <pageSetup paperSize="9" scale="63" orientation="portrait" horizontalDpi="90" verticalDpi="90" r:id="rId2"/>
  <headerFooter>
    <oddHeader>&amp;LKennzahlenraster KIP IAS&amp;R&amp;G</oddHeader>
    <oddFooter>&amp;L&amp;A&amp;R&amp;P</oddFooter>
  </headerFooter>
  <legacyDrawingHF r:id="rId3"/>
  <extLst>
    <ext xmlns:x14="http://schemas.microsoft.com/office/spreadsheetml/2009/9/main" uri="{CCE6A557-97BC-4b89-ADB6-D9C93CAAB3DF}">
      <x14:dataValidations xmlns:xm="http://schemas.microsoft.com/office/excel/2006/main" xWindow="391" yWindow="600" count="1">
        <x14:dataValidation type="list" allowBlank="1" xr:uid="{00000000-0002-0000-0100-000003000000}">
          <x14:formula1>
            <xm:f>Dropdownlisten!$A$3:$A$29</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9" tint="0.39997558519241921"/>
    <pageSetUpPr fitToPage="1"/>
  </sheetPr>
  <dimension ref="B1:K12"/>
  <sheetViews>
    <sheetView showGridLines="0" zoomScale="70" zoomScaleNormal="70" workbookViewId="0">
      <selection activeCell="H9" sqref="H9"/>
    </sheetView>
  </sheetViews>
  <sheetFormatPr baseColWidth="10" defaultColWidth="11" defaultRowHeight="14" x14ac:dyDescent="0.3"/>
  <cols>
    <col min="1" max="1" width="2.08203125" style="182" customWidth="1"/>
    <col min="2" max="2" width="4.08203125" style="182" customWidth="1"/>
    <col min="3" max="5" width="15.58203125" style="182" customWidth="1"/>
    <col min="6" max="6" width="34.5" style="218" customWidth="1"/>
    <col min="7" max="7" width="79.58203125" style="182" customWidth="1"/>
    <col min="8" max="9" width="14.08203125" style="182" customWidth="1"/>
    <col min="10" max="10" width="32.58203125" style="182" customWidth="1"/>
    <col min="11" max="11" width="51.83203125" style="182" customWidth="1"/>
    <col min="12" max="12" width="2.08203125" style="182" customWidth="1"/>
    <col min="13" max="16384" width="11" style="182"/>
  </cols>
  <sheetData>
    <row r="1" spans="2:11" ht="28" x14ac:dyDescent="0.6">
      <c r="B1" s="408" t="s">
        <v>50</v>
      </c>
      <c r="C1" s="409"/>
      <c r="D1" s="409"/>
      <c r="E1" s="409"/>
      <c r="F1" s="410"/>
    </row>
    <row r="2" spans="2:11" ht="28.5" customHeight="1" x14ac:dyDescent="0.5">
      <c r="B2" s="404" t="s">
        <v>42</v>
      </c>
      <c r="C2" s="405"/>
      <c r="D2" s="405"/>
      <c r="E2" s="405"/>
      <c r="F2" s="240" t="str">
        <f>'Table des matières'!D4</f>
        <v>CH</v>
      </c>
    </row>
    <row r="3" spans="2:11" ht="28.5" customHeight="1" thickBot="1" x14ac:dyDescent="0.35">
      <c r="B3" s="406" t="s">
        <v>63</v>
      </c>
      <c r="C3" s="407"/>
      <c r="D3" s="407"/>
      <c r="E3" s="407"/>
      <c r="F3" s="241"/>
      <c r="G3" s="183"/>
    </row>
    <row r="4" spans="2:11" ht="14.15" customHeight="1" x14ac:dyDescent="0.3">
      <c r="B4" s="184"/>
      <c r="C4" s="184"/>
      <c r="D4" s="184"/>
      <c r="E4" s="185"/>
    </row>
    <row r="5" spans="2:11" ht="14.15" customHeight="1" thickBot="1" x14ac:dyDescent="0.35">
      <c r="B5" s="413"/>
      <c r="C5" s="414"/>
      <c r="D5" s="414"/>
      <c r="E5" s="414"/>
    </row>
    <row r="6" spans="2:11" ht="50.15" customHeight="1" thickBot="1" x14ac:dyDescent="0.35">
      <c r="B6" s="242" t="s">
        <v>64</v>
      </c>
      <c r="C6" s="415" t="s">
        <v>65</v>
      </c>
      <c r="D6" s="416"/>
      <c r="E6" s="417"/>
      <c r="F6" s="186" t="s">
        <v>66</v>
      </c>
      <c r="G6" s="186" t="s">
        <v>67</v>
      </c>
      <c r="H6" s="186" t="s">
        <v>68</v>
      </c>
      <c r="I6" s="305" t="s">
        <v>238</v>
      </c>
      <c r="J6" s="418" t="s">
        <v>69</v>
      </c>
      <c r="K6" s="417"/>
    </row>
    <row r="7" spans="2:11" s="187" customFormat="1" ht="16.5" customHeight="1" thickBot="1" x14ac:dyDescent="0.35">
      <c r="B7" s="403"/>
      <c r="C7" s="403"/>
      <c r="D7" s="403"/>
      <c r="E7" s="403"/>
      <c r="F7" s="403"/>
      <c r="G7" s="403"/>
      <c r="H7" s="403"/>
      <c r="I7" s="403"/>
      <c r="J7" s="403"/>
      <c r="K7" s="403"/>
    </row>
    <row r="8" spans="2:11" ht="128.25" customHeight="1" x14ac:dyDescent="0.3">
      <c r="B8" s="243">
        <v>1</v>
      </c>
      <c r="C8" s="421" t="s">
        <v>70</v>
      </c>
      <c r="D8" s="422"/>
      <c r="E8" s="422"/>
      <c r="F8" s="310" t="s">
        <v>158</v>
      </c>
      <c r="G8" s="311" t="s">
        <v>188</v>
      </c>
      <c r="H8" s="284"/>
      <c r="I8" s="287" t="s">
        <v>33</v>
      </c>
      <c r="J8" s="427"/>
      <c r="K8" s="428"/>
    </row>
    <row r="9" spans="2:11" ht="100.5" customHeight="1" x14ac:dyDescent="0.3">
      <c r="B9" s="244">
        <v>2</v>
      </c>
      <c r="C9" s="423" t="s">
        <v>173</v>
      </c>
      <c r="D9" s="424"/>
      <c r="E9" s="424"/>
      <c r="F9" s="312" t="s">
        <v>159</v>
      </c>
      <c r="G9" s="313" t="s">
        <v>161</v>
      </c>
      <c r="H9" s="285"/>
      <c r="I9" s="91" t="s">
        <v>33</v>
      </c>
      <c r="J9" s="411"/>
      <c r="K9" s="412"/>
    </row>
    <row r="10" spans="2:11" ht="101.25" customHeight="1" x14ac:dyDescent="0.3">
      <c r="B10" s="244">
        <v>3</v>
      </c>
      <c r="C10" s="423" t="s">
        <v>174</v>
      </c>
      <c r="D10" s="424"/>
      <c r="E10" s="424"/>
      <c r="F10" s="312" t="s">
        <v>160</v>
      </c>
      <c r="G10" s="313" t="s">
        <v>162</v>
      </c>
      <c r="H10" s="285"/>
      <c r="I10" s="91" t="s">
        <v>33</v>
      </c>
      <c r="J10" s="411"/>
      <c r="K10" s="412"/>
    </row>
    <row r="11" spans="2:11" ht="126" customHeight="1" x14ac:dyDescent="0.3">
      <c r="B11" s="244">
        <v>4</v>
      </c>
      <c r="C11" s="423" t="s">
        <v>175</v>
      </c>
      <c r="D11" s="424"/>
      <c r="E11" s="424"/>
      <c r="F11" s="312" t="s">
        <v>176</v>
      </c>
      <c r="G11" s="314" t="s">
        <v>177</v>
      </c>
      <c r="H11" s="285"/>
      <c r="I11" s="91" t="s">
        <v>33</v>
      </c>
      <c r="J11" s="411"/>
      <c r="K11" s="412"/>
    </row>
    <row r="12" spans="2:11" ht="187.5" customHeight="1" thickBot="1" x14ac:dyDescent="0.35">
      <c r="B12" s="245">
        <v>5</v>
      </c>
      <c r="C12" s="425" t="s">
        <v>178</v>
      </c>
      <c r="D12" s="426"/>
      <c r="E12" s="426"/>
      <c r="F12" s="315" t="s">
        <v>179</v>
      </c>
      <c r="G12" s="316" t="s">
        <v>180</v>
      </c>
      <c r="H12" s="286"/>
      <c r="I12" s="246" t="s">
        <v>33</v>
      </c>
      <c r="J12" s="419"/>
      <c r="K12" s="420"/>
    </row>
  </sheetData>
  <sheetProtection algorithmName="SHA-512" hashValue="W1X9MTkWXrxVhL3hfC12DOH/Dw1BUy0opk7v/sB/fqMfVupxIiKNnbxcugcnAvcFhvjPDQVmsJdLn/IdFEy8zA==" saltValue="v5UU/q1puipE6Mnx59XPbQ==" spinCount="100000" sheet="1" selectLockedCells="1"/>
  <customSheetViews>
    <customSheetView guid="{168849A9-FED9-4458-942F-290616B3A25C}" scale="85" showPageBreaks="1" showGridLines="0" fitToPage="1" printArea="1">
      <selection activeCell="F2" sqref="F2"/>
      <pageMargins left="0.70866141732283472" right="0.70866141732283472" top="0.78740157480314965" bottom="0.78740157480314965" header="0.31496062992125984" footer="0.31496062992125984"/>
      <pageSetup paperSize="9" scale="48" fitToHeight="0" orientation="landscape" r:id="rId1"/>
      <headerFooter>
        <oddHeader>&amp;LKennzahlenraster KIP / IAS&amp;R&amp;G</oddHeader>
        <oddFooter>&amp;L&amp;A&amp;R&amp;P</oddFooter>
      </headerFooter>
    </customSheetView>
  </customSheetViews>
  <mergeCells count="17">
    <mergeCell ref="J12:K12"/>
    <mergeCell ref="J10:K10"/>
    <mergeCell ref="C8:E8"/>
    <mergeCell ref="C9:E9"/>
    <mergeCell ref="C11:E11"/>
    <mergeCell ref="C12:E12"/>
    <mergeCell ref="C10:E10"/>
    <mergeCell ref="J8:K8"/>
    <mergeCell ref="J9:K9"/>
    <mergeCell ref="B7:K7"/>
    <mergeCell ref="B2:E2"/>
    <mergeCell ref="B3:E3"/>
    <mergeCell ref="B1:F1"/>
    <mergeCell ref="J11:K11"/>
    <mergeCell ref="B5:E5"/>
    <mergeCell ref="C6:E6"/>
    <mergeCell ref="J6:K6"/>
  </mergeCells>
  <dataValidations xWindow="447" yWindow="312" count="2">
    <dataValidation type="whole" operator="greaterThanOrEqual" allowBlank="1" showInputMessage="1" showErrorMessage="1" errorTitle="Fehler" error="Gültig sind nur positive, ganze Zahlen (0, 200, etc.). Kein Text" sqref="H8:H12" xr:uid="{00000000-0002-0000-0200-000000000000}">
      <formula1>0</formula1>
    </dataValidation>
    <dataValidation type="date" allowBlank="1" showInputMessage="1" showErrorMessage="1" error="Veuillez saisir une date de saisie comprise entre le 01.01.2024 et le 31.12.2024" promptTitle="Date de la saisie" prompt="Veuillez saisir la date de la saisie des données" sqref="F3" xr:uid="{00000000-0002-0000-0200-000001000000}">
      <formula1>45292</formula1>
      <formula2>45657</formula2>
    </dataValidation>
  </dataValidations>
  <pageMargins left="0.70866141732283472" right="0.70866141732283472" top="0.78740157480314965" bottom="0.78740157480314965" header="0.31496062992125984" footer="0.31496062992125984"/>
  <pageSetup paperSize="9" scale="48" fitToHeight="0" orientation="landscape" r:id="rId2"/>
  <headerFooter>
    <oddFooter>&amp;L&amp;A&amp;R&amp;P</oddFooter>
  </headerFooter>
  <extLst>
    <ext xmlns:x14="http://schemas.microsoft.com/office/spreadsheetml/2009/9/main" uri="{CCE6A557-97BC-4b89-ADB6-D9C93CAAB3DF}">
      <x14:dataValidations xmlns:xm="http://schemas.microsoft.com/office/excel/2006/main" xWindow="447" yWindow="312" count="1">
        <x14:dataValidation type="list" operator="greaterThanOrEqual" allowBlank="1" showInputMessage="1" showErrorMessage="1" errorTitle="Fehler" error="Gültig sind nur positive, ganze Zahlen (0, 200, etc.). Kein Text" xr:uid="{C74E1855-B29E-485C-9AF3-0FCDA97ED7BE}">
          <x14:formula1>
            <xm:f>Dropdownlisten!$C$9:$C$12</xm:f>
          </x14:formula1>
          <xm:sqref>I8:I12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3" tint="0.39997558519241921"/>
    <pageSetUpPr fitToPage="1"/>
  </sheetPr>
  <dimension ref="A1:V34"/>
  <sheetViews>
    <sheetView showGridLines="0" zoomScale="70" zoomScaleNormal="70" zoomScalePageLayoutView="90" workbookViewId="0">
      <selection activeCell="B1" sqref="B1:E1"/>
    </sheetView>
  </sheetViews>
  <sheetFormatPr baseColWidth="10" defaultColWidth="11" defaultRowHeight="14" x14ac:dyDescent="0.3"/>
  <cols>
    <col min="1" max="1" width="2.08203125" style="1" customWidth="1"/>
    <col min="2" max="2" width="3.08203125" style="1" customWidth="1"/>
    <col min="3" max="3" width="4.08203125" style="1" customWidth="1"/>
    <col min="4" max="4" width="32.08203125" style="1" customWidth="1"/>
    <col min="5" max="5" width="41.58203125" style="1" customWidth="1"/>
    <col min="6" max="6" width="20.08203125" style="1" customWidth="1"/>
    <col min="7" max="15" width="15.83203125" style="1" customWidth="1"/>
    <col min="16" max="16" width="2.08203125" style="1" customWidth="1"/>
    <col min="17" max="16384" width="11" style="1"/>
  </cols>
  <sheetData>
    <row r="1" spans="2:22" ht="28" x14ac:dyDescent="0.3">
      <c r="B1" s="429" t="s">
        <v>51</v>
      </c>
      <c r="C1" s="430"/>
      <c r="D1" s="430"/>
      <c r="E1" s="431"/>
    </row>
    <row r="2" spans="2:22" ht="28.5" customHeight="1" x14ac:dyDescent="0.5">
      <c r="B2" s="468" t="s">
        <v>42</v>
      </c>
      <c r="C2" s="468"/>
      <c r="D2" s="468"/>
      <c r="E2" s="329" t="str">
        <f>'Indicateurs PIC'!F2</f>
        <v>CH</v>
      </c>
    </row>
    <row r="3" spans="2:22" ht="14.15" customHeight="1" x14ac:dyDescent="0.3">
      <c r="B3" s="7"/>
      <c r="C3" s="7"/>
      <c r="D3" s="7"/>
      <c r="E3" s="90"/>
      <c r="F3" s="90"/>
    </row>
    <row r="4" spans="2:22" ht="14.15" customHeight="1" thickBot="1" x14ac:dyDescent="0.35"/>
    <row r="5" spans="2:22" s="3" customFormat="1" ht="62.5" customHeight="1" thickBot="1" x14ac:dyDescent="0.35">
      <c r="B5" s="8" t="s">
        <v>71</v>
      </c>
      <c r="C5" s="9" t="s">
        <v>72</v>
      </c>
      <c r="D5" s="25" t="s">
        <v>73</v>
      </c>
      <c r="E5" s="447" t="s">
        <v>66</v>
      </c>
      <c r="F5" s="448"/>
      <c r="G5" s="66" t="s">
        <v>4</v>
      </c>
      <c r="H5" s="67" t="s">
        <v>74</v>
      </c>
      <c r="I5" s="68" t="s">
        <v>75</v>
      </c>
      <c r="J5" s="73" t="s">
        <v>154</v>
      </c>
      <c r="K5" s="73" t="s">
        <v>76</v>
      </c>
      <c r="L5" s="74" t="s">
        <v>77</v>
      </c>
      <c r="M5" s="69" t="s">
        <v>78</v>
      </c>
      <c r="N5" s="458" t="s">
        <v>79</v>
      </c>
      <c r="O5" s="459"/>
      <c r="P5" s="2"/>
      <c r="Q5" s="2"/>
      <c r="R5" s="2"/>
      <c r="S5" s="2"/>
      <c r="T5" s="2"/>
      <c r="U5" s="2"/>
      <c r="V5" s="2"/>
    </row>
    <row r="6" spans="2:22" s="4" customFormat="1" ht="14.15" customHeight="1" thickBot="1" x14ac:dyDescent="0.35">
      <c r="B6" s="212"/>
      <c r="C6" s="446"/>
      <c r="D6" s="446"/>
      <c r="E6" s="446"/>
      <c r="F6" s="446"/>
      <c r="G6" s="446"/>
      <c r="H6" s="446"/>
      <c r="I6" s="446"/>
      <c r="J6" s="446"/>
      <c r="K6" s="446"/>
      <c r="L6" s="446"/>
      <c r="M6" s="446"/>
      <c r="P6" s="5"/>
      <c r="Q6" s="5"/>
      <c r="R6" s="5"/>
      <c r="S6" s="5"/>
      <c r="T6" s="5"/>
      <c r="U6" s="5"/>
      <c r="V6" s="5"/>
    </row>
    <row r="7" spans="2:22" s="197" customFormat="1" ht="45" customHeight="1" thickBot="1" x14ac:dyDescent="0.35">
      <c r="B7" s="188"/>
      <c r="C7" s="189"/>
      <c r="D7" s="190" t="s">
        <v>80</v>
      </c>
      <c r="E7" s="191"/>
      <c r="F7" s="192"/>
      <c r="G7" s="273"/>
      <c r="H7" s="274"/>
      <c r="I7" s="193"/>
      <c r="J7" s="194"/>
      <c r="K7" s="194"/>
      <c r="L7" s="195"/>
      <c r="M7" s="196"/>
      <c r="N7" s="198" t="s">
        <v>81</v>
      </c>
      <c r="O7" s="199" t="s">
        <v>166</v>
      </c>
    </row>
    <row r="8" spans="2:22" s="6" customFormat="1" ht="80.150000000000006" customHeight="1" thickBot="1" x14ac:dyDescent="0.35">
      <c r="B8" s="32" t="s">
        <v>83</v>
      </c>
      <c r="C8" s="33">
        <v>1</v>
      </c>
      <c r="D8" s="34" t="s">
        <v>84</v>
      </c>
      <c r="E8" s="35" t="s">
        <v>85</v>
      </c>
      <c r="F8" s="139"/>
      <c r="G8" s="61">
        <f>SUM(H8:I8,K8)</f>
        <v>0</v>
      </c>
      <c r="H8" s="36">
        <f>'Ind AIS N°1'!D8</f>
        <v>0</v>
      </c>
      <c r="I8" s="36">
        <f>'Ind AIS N°1'!E8</f>
        <v>0</v>
      </c>
      <c r="J8" s="75">
        <f>'Ind AIS N°1'!F8</f>
        <v>0</v>
      </c>
      <c r="K8" s="37">
        <f>'Ind AIS N°1'!G8</f>
        <v>0</v>
      </c>
      <c r="L8" s="36">
        <f>'Ind AIS N°1'!H8</f>
        <v>0</v>
      </c>
      <c r="M8" s="37">
        <f>'Ind AIS N°1'!I8</f>
        <v>0</v>
      </c>
      <c r="N8" s="460"/>
      <c r="O8" s="461"/>
    </row>
    <row r="9" spans="2:22" s="6" customFormat="1" ht="45" customHeight="1" x14ac:dyDescent="0.3">
      <c r="B9" s="432" t="s">
        <v>86</v>
      </c>
      <c r="C9" s="449">
        <v>2</v>
      </c>
      <c r="D9" s="454" t="s">
        <v>87</v>
      </c>
      <c r="E9" s="443" t="s">
        <v>88</v>
      </c>
      <c r="F9" s="200" t="s">
        <v>89</v>
      </c>
      <c r="G9" s="63">
        <f t="shared" ref="G9:G15" si="0">SUM(H9:I9,K9)</f>
        <v>0</v>
      </c>
      <c r="H9" s="39">
        <f>'Ind AIS N°2'!E8</f>
        <v>0</v>
      </c>
      <c r="I9" s="40">
        <f>'Ind AIS N°2'!G8</f>
        <v>0</v>
      </c>
      <c r="J9" s="76">
        <f>'Ind AIS N°2'!H8</f>
        <v>0</v>
      </c>
      <c r="K9" s="76">
        <f>'Ind AIS N°2'!H8</f>
        <v>0</v>
      </c>
      <c r="L9" s="82">
        <f>'Ind AIS N°2'!I8</f>
        <v>0</v>
      </c>
      <c r="M9" s="41">
        <f>'Ind AIS N°2'!J8</f>
        <v>0</v>
      </c>
      <c r="N9" s="462"/>
      <c r="O9" s="463"/>
    </row>
    <row r="10" spans="2:22" s="6" customFormat="1" ht="45" customHeight="1" x14ac:dyDescent="0.3">
      <c r="B10" s="469"/>
      <c r="C10" s="450"/>
      <c r="D10" s="470"/>
      <c r="E10" s="444"/>
      <c r="F10" s="201" t="s">
        <v>90</v>
      </c>
      <c r="G10" s="64">
        <f>SUM(H10:I10,K10)</f>
        <v>0</v>
      </c>
      <c r="H10" s="26">
        <f>'Ind AIS N°2'!E9</f>
        <v>0</v>
      </c>
      <c r="I10" s="28">
        <f>'Ind AIS N°2'!G9</f>
        <v>0</v>
      </c>
      <c r="J10" s="77">
        <f>'Ind AIS N°2'!H9</f>
        <v>0</v>
      </c>
      <c r="K10" s="77">
        <f>'Ind AIS N°2'!H9</f>
        <v>0</v>
      </c>
      <c r="L10" s="83">
        <f>'Ind AIS N°2'!I9</f>
        <v>0</v>
      </c>
      <c r="M10" s="27">
        <f>'Ind AIS N°2'!J9</f>
        <v>0</v>
      </c>
      <c r="N10" s="462"/>
      <c r="O10" s="463"/>
    </row>
    <row r="11" spans="2:22" s="6" customFormat="1" ht="45" customHeight="1" x14ac:dyDescent="0.3">
      <c r="B11" s="469"/>
      <c r="C11" s="450"/>
      <c r="D11" s="470"/>
      <c r="E11" s="444"/>
      <c r="F11" s="201" t="s">
        <v>91</v>
      </c>
      <c r="G11" s="64">
        <f t="shared" si="0"/>
        <v>0</v>
      </c>
      <c r="H11" s="26">
        <f>'Ind AIS N°2'!E10</f>
        <v>0</v>
      </c>
      <c r="I11" s="28">
        <f>'Ind AIS N°2'!G10</f>
        <v>0</v>
      </c>
      <c r="J11" s="77">
        <f>'Ind AIS N°2'!H10</f>
        <v>0</v>
      </c>
      <c r="K11" s="77">
        <f>'Ind AIS N°2'!H10</f>
        <v>0</v>
      </c>
      <c r="L11" s="83">
        <f>'Ind AIS N°2'!I10</f>
        <v>0</v>
      </c>
      <c r="M11" s="27">
        <f>'Ind AIS N°2'!J10</f>
        <v>0</v>
      </c>
      <c r="N11" s="462"/>
      <c r="O11" s="463"/>
    </row>
    <row r="12" spans="2:22" s="6" customFormat="1" ht="45" customHeight="1" thickBot="1" x14ac:dyDescent="0.35">
      <c r="B12" s="433"/>
      <c r="C12" s="451"/>
      <c r="D12" s="455"/>
      <c r="E12" s="445"/>
      <c r="F12" s="202" t="s">
        <v>92</v>
      </c>
      <c r="G12" s="65">
        <f t="shared" si="0"/>
        <v>0</v>
      </c>
      <c r="H12" s="29">
        <f>'Ind AIS N°2'!E11</f>
        <v>0</v>
      </c>
      <c r="I12" s="30">
        <f>'Ind AIS N°2'!G11</f>
        <v>0</v>
      </c>
      <c r="J12" s="78">
        <f>'Ind AIS N°2'!H11</f>
        <v>0</v>
      </c>
      <c r="K12" s="78">
        <f>'Ind AIS N°2'!H11</f>
        <v>0</v>
      </c>
      <c r="L12" s="84">
        <f>'Ind AIS N°2'!I11</f>
        <v>0</v>
      </c>
      <c r="M12" s="31">
        <f>'Ind AIS N°2'!J11</f>
        <v>0</v>
      </c>
      <c r="N12" s="462"/>
      <c r="O12" s="463"/>
    </row>
    <row r="13" spans="2:22" s="6" customFormat="1" ht="45" customHeight="1" x14ac:dyDescent="0.3">
      <c r="B13" s="432" t="s">
        <v>86</v>
      </c>
      <c r="C13" s="452">
        <v>3</v>
      </c>
      <c r="D13" s="454" t="s">
        <v>93</v>
      </c>
      <c r="E13" s="466" t="s">
        <v>94</v>
      </c>
      <c r="F13" s="38" t="s">
        <v>95</v>
      </c>
      <c r="G13" s="63">
        <f t="shared" si="0"/>
        <v>0</v>
      </c>
      <c r="H13" s="39">
        <f>'Ind AIS N°3'!E8</f>
        <v>0</v>
      </c>
      <c r="I13" s="40">
        <f>'Ind AIS N°3'!G8</f>
        <v>0</v>
      </c>
      <c r="J13" s="76">
        <f>'Ind AIS N°3'!H8</f>
        <v>0</v>
      </c>
      <c r="K13" s="76">
        <f>'Ind AIS N°3'!H8</f>
        <v>0</v>
      </c>
      <c r="L13" s="82">
        <f>'Ind AIS N°3'!I8</f>
        <v>0</v>
      </c>
      <c r="M13" s="41">
        <f>'Ind AIS N°3'!J8</f>
        <v>0</v>
      </c>
      <c r="N13" s="462"/>
      <c r="O13" s="463"/>
    </row>
    <row r="14" spans="2:22" s="6" customFormat="1" ht="45" customHeight="1" thickBot="1" x14ac:dyDescent="0.35">
      <c r="B14" s="433"/>
      <c r="C14" s="453"/>
      <c r="D14" s="455"/>
      <c r="E14" s="467"/>
      <c r="F14" s="10" t="s">
        <v>96</v>
      </c>
      <c r="G14" s="65">
        <f>SUM(H14:I14,K14)</f>
        <v>0</v>
      </c>
      <c r="H14" s="29">
        <f>'Ind AIS N°3'!E9</f>
        <v>0</v>
      </c>
      <c r="I14" s="30">
        <f>'Ind AIS N°3'!G9</f>
        <v>0</v>
      </c>
      <c r="J14" s="78">
        <f>'Ind AIS N°3'!H9</f>
        <v>0</v>
      </c>
      <c r="K14" s="78">
        <f>'Ind AIS N°3'!H9</f>
        <v>0</v>
      </c>
      <c r="L14" s="84">
        <f>'Ind AIS N°3'!I9</f>
        <v>0</v>
      </c>
      <c r="M14" s="31">
        <f>'Ind AIS N°3'!J9</f>
        <v>0</v>
      </c>
      <c r="N14" s="462"/>
      <c r="O14" s="463"/>
    </row>
    <row r="15" spans="2:22" s="6" customFormat="1" ht="80.150000000000006" customHeight="1" thickBot="1" x14ac:dyDescent="0.35">
      <c r="B15" s="32" t="s">
        <v>86</v>
      </c>
      <c r="C15" s="42">
        <v>4</v>
      </c>
      <c r="D15" s="34" t="s">
        <v>97</v>
      </c>
      <c r="E15" s="35" t="s">
        <v>98</v>
      </c>
      <c r="F15" s="139"/>
      <c r="G15" s="61">
        <f t="shared" si="0"/>
        <v>0</v>
      </c>
      <c r="H15" s="36">
        <f>'Ind AIS N°4'!D8</f>
        <v>0</v>
      </c>
      <c r="I15" s="43">
        <f>'Ind AIS N°4'!E8</f>
        <v>0</v>
      </c>
      <c r="J15" s="79">
        <f>'Ind AIS N°4'!F8</f>
        <v>0</v>
      </c>
      <c r="K15" s="79">
        <f>'Ind AIS N°4'!G8</f>
        <v>0</v>
      </c>
      <c r="L15" s="81">
        <f>'Ind AIS N°4'!H8</f>
        <v>0</v>
      </c>
      <c r="M15" s="37">
        <f>'Ind AIS N°4'!I8</f>
        <v>0</v>
      </c>
      <c r="N15" s="462"/>
      <c r="O15" s="463"/>
    </row>
    <row r="16" spans="2:22" s="6" customFormat="1" ht="55" customHeight="1" x14ac:dyDescent="0.3">
      <c r="B16" s="432" t="s">
        <v>86</v>
      </c>
      <c r="C16" s="441">
        <v>5</v>
      </c>
      <c r="D16" s="439" t="s">
        <v>99</v>
      </c>
      <c r="E16" s="437" t="s">
        <v>100</v>
      </c>
      <c r="F16" s="44" t="s">
        <v>101</v>
      </c>
      <c r="G16" s="63">
        <f>SUM(H16:I16,K16)</f>
        <v>0</v>
      </c>
      <c r="H16" s="48">
        <f>'Ind AIS N°5'!E8</f>
        <v>0</v>
      </c>
      <c r="I16" s="45">
        <f>'Ind AIS N°5'!G8</f>
        <v>0</v>
      </c>
      <c r="J16" s="80">
        <f>'Ind AIS N°5'!H8</f>
        <v>0</v>
      </c>
      <c r="K16" s="80">
        <f>'Ind AIS N°5'!H8</f>
        <v>0</v>
      </c>
      <c r="L16" s="85">
        <f>'Ind AIS N°5'!I8</f>
        <v>0</v>
      </c>
      <c r="M16" s="46">
        <f>'Ind AIS N°5'!J8</f>
        <v>0</v>
      </c>
      <c r="N16" s="462"/>
      <c r="O16" s="463"/>
    </row>
    <row r="17" spans="1:16" s="6" customFormat="1" ht="55" customHeight="1" thickBot="1" x14ac:dyDescent="0.35">
      <c r="B17" s="433"/>
      <c r="C17" s="442"/>
      <c r="D17" s="440"/>
      <c r="E17" s="438"/>
      <c r="F17" s="10" t="s">
        <v>102</v>
      </c>
      <c r="G17" s="65">
        <f>SUM(H17:I17,K17)</f>
        <v>0</v>
      </c>
      <c r="H17" s="29">
        <f>'Ind AIS N°5'!E9</f>
        <v>0</v>
      </c>
      <c r="I17" s="30">
        <f>'Ind AIS N°5'!G9</f>
        <v>0</v>
      </c>
      <c r="J17" s="78">
        <f>'Ind AIS N°5'!H9</f>
        <v>0</v>
      </c>
      <c r="K17" s="78">
        <f>'Ind AIS N°5'!H9</f>
        <v>0</v>
      </c>
      <c r="L17" s="84">
        <f>'Ind AIS N°5'!I9</f>
        <v>0</v>
      </c>
      <c r="M17" s="31">
        <f>'Ind AIS N°5'!J9</f>
        <v>0</v>
      </c>
      <c r="N17" s="464"/>
      <c r="O17" s="465"/>
    </row>
    <row r="18" spans="1:16" ht="14.5" thickBot="1" x14ac:dyDescent="0.35">
      <c r="B18" s="435"/>
      <c r="C18" s="435"/>
      <c r="D18" s="435"/>
      <c r="E18" s="11"/>
      <c r="F18" s="11"/>
      <c r="G18" s="11"/>
      <c r="H18" s="11"/>
      <c r="I18" s="11"/>
      <c r="J18" s="11"/>
      <c r="K18" s="11"/>
      <c r="L18" s="11"/>
      <c r="M18" s="11"/>
    </row>
    <row r="19" spans="1:16" ht="45" customHeight="1" thickBot="1" x14ac:dyDescent="0.35">
      <c r="B19" s="51"/>
      <c r="C19" s="268"/>
      <c r="D19" s="56" t="s">
        <v>103</v>
      </c>
      <c r="E19" s="57"/>
      <c r="F19" s="58"/>
      <c r="G19" s="62"/>
      <c r="H19" s="59"/>
      <c r="I19" s="54"/>
      <c r="J19" s="86"/>
      <c r="K19" s="86"/>
      <c r="L19" s="87"/>
      <c r="M19" s="55"/>
      <c r="N19" s="198" t="s">
        <v>81</v>
      </c>
      <c r="O19" s="199" t="s">
        <v>82</v>
      </c>
    </row>
    <row r="20" spans="1:16" s="6" customFormat="1" ht="80.150000000000006" customHeight="1" thickBot="1" x14ac:dyDescent="0.35">
      <c r="B20" s="32" t="s">
        <v>83</v>
      </c>
      <c r="C20" s="33">
        <v>6</v>
      </c>
      <c r="D20" s="34" t="s">
        <v>104</v>
      </c>
      <c r="E20" s="35" t="s">
        <v>105</v>
      </c>
      <c r="F20" s="139"/>
      <c r="G20" s="61">
        <f>SUM(H20:I20,K20)</f>
        <v>0</v>
      </c>
      <c r="H20" s="36">
        <f>'Ind AIS N°6'!D8</f>
        <v>0</v>
      </c>
      <c r="I20" s="36">
        <f>'Ind AIS N°6'!E8</f>
        <v>0</v>
      </c>
      <c r="J20" s="43">
        <f>'Ind AIS N°6'!F8</f>
        <v>0</v>
      </c>
      <c r="K20" s="75">
        <f>'Ind AIS N°6'!G8</f>
        <v>0</v>
      </c>
      <c r="L20" s="81">
        <f>'Ind AIS N°6'!H8</f>
        <v>0</v>
      </c>
      <c r="M20" s="47">
        <f>'Ind AIS N°6'!I8</f>
        <v>0</v>
      </c>
      <c r="N20" s="456"/>
      <c r="O20" s="457"/>
    </row>
    <row r="21" spans="1:16" ht="14.5" thickBot="1" x14ac:dyDescent="0.35">
      <c r="A21" s="213"/>
      <c r="B21" s="436"/>
      <c r="C21" s="436"/>
      <c r="D21" s="436"/>
      <c r="E21" s="436"/>
      <c r="F21" s="436"/>
      <c r="G21" s="436"/>
      <c r="H21" s="436"/>
      <c r="I21" s="436"/>
      <c r="J21" s="436"/>
      <c r="K21" s="436"/>
      <c r="L21" s="436"/>
      <c r="M21" s="436"/>
      <c r="N21" s="213"/>
      <c r="O21" s="213"/>
      <c r="P21" s="213"/>
    </row>
    <row r="22" spans="1:16" ht="45" customHeight="1" thickBot="1" x14ac:dyDescent="0.35">
      <c r="B22" s="51"/>
      <c r="C22" s="268"/>
      <c r="D22" s="56" t="s">
        <v>106</v>
      </c>
      <c r="E22" s="57"/>
      <c r="F22" s="58"/>
      <c r="G22" s="62"/>
      <c r="H22" s="59"/>
      <c r="I22" s="54"/>
      <c r="J22" s="86"/>
      <c r="K22" s="86"/>
      <c r="L22" s="87"/>
      <c r="M22" s="55"/>
      <c r="N22" s="198" t="s">
        <v>81</v>
      </c>
      <c r="O22" s="199" t="s">
        <v>82</v>
      </c>
    </row>
    <row r="23" spans="1:16" s="6" customFormat="1" ht="80.150000000000006" customHeight="1" thickBot="1" x14ac:dyDescent="0.35">
      <c r="B23" s="32" t="s">
        <v>83</v>
      </c>
      <c r="C23" s="42">
        <v>7</v>
      </c>
      <c r="D23" s="34" t="s">
        <v>107</v>
      </c>
      <c r="E23" s="35" t="s">
        <v>108</v>
      </c>
      <c r="F23" s="139"/>
      <c r="G23" s="61">
        <f>SUM(H23:I23,K23)</f>
        <v>0</v>
      </c>
      <c r="H23" s="36">
        <f>'Ind AIS N°7'!D8</f>
        <v>0</v>
      </c>
      <c r="I23" s="36">
        <f>'Ind AIS N°7'!E8</f>
        <v>0</v>
      </c>
      <c r="J23" s="43">
        <f>'Ind AIS N°7'!F8</f>
        <v>0</v>
      </c>
      <c r="K23" s="75">
        <f>'Ind AIS N°7'!G8</f>
        <v>0</v>
      </c>
      <c r="L23" s="81">
        <f>'Ind AIS N°7'!H8</f>
        <v>0</v>
      </c>
      <c r="M23" s="47">
        <f>'Ind AIS N°7'!I8</f>
        <v>0</v>
      </c>
      <c r="N23" s="81" t="str">
        <f>'Ind AIS N°7'!J8</f>
        <v>…..</v>
      </c>
      <c r="O23" s="47" t="str">
        <f>'Ind AIS N°7'!K8</f>
        <v>…..</v>
      </c>
    </row>
    <row r="24" spans="1:16" s="6" customFormat="1" ht="95.15" customHeight="1" thickBot="1" x14ac:dyDescent="0.35">
      <c r="B24" s="32" t="s">
        <v>109</v>
      </c>
      <c r="C24" s="33">
        <v>8</v>
      </c>
      <c r="D24" s="34" t="s">
        <v>110</v>
      </c>
      <c r="E24" s="35" t="s">
        <v>111</v>
      </c>
      <c r="F24" s="139"/>
      <c r="G24" s="61">
        <f>SUM(H24:I24,K24)</f>
        <v>0</v>
      </c>
      <c r="H24" s="36">
        <f>'Ind AIS N°8'!D8</f>
        <v>0</v>
      </c>
      <c r="I24" s="36">
        <f>'Ind AIS N°8'!E8</f>
        <v>0</v>
      </c>
      <c r="J24" s="318"/>
      <c r="K24" s="75">
        <f>'Ind AIS N°8'!F8</f>
        <v>0</v>
      </c>
      <c r="L24" s="81">
        <f>'Ind AIS N°8'!G8</f>
        <v>0</v>
      </c>
      <c r="M24" s="47">
        <f>'Ind AIS N°8'!H8</f>
        <v>0</v>
      </c>
      <c r="N24" s="320"/>
      <c r="O24" s="47" t="str" cm="1">
        <f t="array" ref="O24:P24">'Ind AIS N°8'!I8:J8</f>
        <v>…..</v>
      </c>
      <c r="P24" s="341">
        <v>0</v>
      </c>
    </row>
    <row r="25" spans="1:16" ht="14.5" thickBot="1" x14ac:dyDescent="0.35">
      <c r="B25" s="435"/>
      <c r="C25" s="435"/>
      <c r="D25" s="435"/>
      <c r="E25" s="435"/>
      <c r="F25" s="435"/>
      <c r="G25" s="435"/>
      <c r="H25" s="435"/>
      <c r="I25" s="435"/>
      <c r="J25" s="435"/>
      <c r="K25" s="435"/>
      <c r="L25" s="435"/>
      <c r="M25" s="435"/>
    </row>
    <row r="26" spans="1:16" ht="45" customHeight="1" thickBot="1" x14ac:dyDescent="0.35">
      <c r="B26" s="51"/>
      <c r="C26" s="268"/>
      <c r="D26" s="56" t="s">
        <v>112</v>
      </c>
      <c r="E26" s="57"/>
      <c r="F26" s="58"/>
      <c r="G26" s="62"/>
      <c r="H26" s="59"/>
      <c r="I26" s="54"/>
      <c r="J26" s="86"/>
      <c r="K26" s="86"/>
      <c r="L26" s="87"/>
      <c r="M26" s="55"/>
      <c r="N26" s="198" t="s">
        <v>81</v>
      </c>
      <c r="O26" s="199" t="s">
        <v>82</v>
      </c>
    </row>
    <row r="27" spans="1:16" s="6" customFormat="1" ht="80.150000000000006" customHeight="1" thickBot="1" x14ac:dyDescent="0.35">
      <c r="B27" s="72" t="s">
        <v>83</v>
      </c>
      <c r="C27" s="268">
        <v>9</v>
      </c>
      <c r="D27" s="269" t="s">
        <v>113</v>
      </c>
      <c r="E27" s="24" t="s">
        <v>114</v>
      </c>
      <c r="F27" s="140"/>
      <c r="G27" s="70">
        <f>SUM(H27:I27,K27)</f>
        <v>0</v>
      </c>
      <c r="H27" s="71">
        <f>'Ind AIS N°9'!D8</f>
        <v>0</v>
      </c>
      <c r="I27" s="71">
        <f>'Ind AIS N°9'!E8</f>
        <v>0</v>
      </c>
      <c r="J27" s="43">
        <f>'Ind AIS N°9'!F8</f>
        <v>0</v>
      </c>
      <c r="K27" s="88">
        <f>'Ind AIS N°9'!G8</f>
        <v>0</v>
      </c>
      <c r="L27" s="89">
        <f>'Ind AIS N°9'!H8</f>
        <v>0</v>
      </c>
      <c r="M27" s="88">
        <f>'Ind AIS N°9'!I8</f>
        <v>0</v>
      </c>
      <c r="N27" s="320"/>
      <c r="O27" s="37" t="str" cm="1">
        <f t="array" ref="O27:P27">'Ind AIS N°9'!J8:K8</f>
        <v>…..</v>
      </c>
      <c r="P27" s="341">
        <v>0</v>
      </c>
    </row>
    <row r="28" spans="1:16" ht="14.5" thickBot="1" x14ac:dyDescent="0.35">
      <c r="B28" s="434"/>
      <c r="C28" s="434"/>
      <c r="D28" s="434"/>
      <c r="E28" s="434"/>
      <c r="F28" s="434"/>
      <c r="G28" s="434"/>
      <c r="H28" s="434"/>
      <c r="I28" s="434"/>
      <c r="J28" s="434"/>
      <c r="K28" s="434"/>
      <c r="L28" s="434"/>
      <c r="M28" s="434"/>
    </row>
    <row r="29" spans="1:16" ht="45" customHeight="1" thickBot="1" x14ac:dyDescent="0.35">
      <c r="B29" s="51"/>
      <c r="C29" s="268"/>
      <c r="D29" s="56" t="s">
        <v>115</v>
      </c>
      <c r="E29" s="57"/>
      <c r="F29" s="58"/>
      <c r="G29" s="62"/>
      <c r="H29" s="59"/>
      <c r="I29" s="54"/>
      <c r="J29" s="86"/>
      <c r="K29" s="86"/>
      <c r="L29" s="87"/>
      <c r="M29" s="55"/>
      <c r="N29" s="198" t="s">
        <v>81</v>
      </c>
      <c r="O29" s="199" t="s">
        <v>82</v>
      </c>
    </row>
    <row r="30" spans="1:16" ht="80.150000000000006" customHeight="1" thickBot="1" x14ac:dyDescent="0.35">
      <c r="B30" s="72" t="s">
        <v>83</v>
      </c>
      <c r="C30" s="268" t="s">
        <v>1</v>
      </c>
      <c r="D30" s="49" t="s">
        <v>116</v>
      </c>
      <c r="E30" s="50" t="s">
        <v>189</v>
      </c>
      <c r="F30" s="58"/>
      <c r="G30" s="61">
        <f>SUM(H30:I30,K30)</f>
        <v>0</v>
      </c>
      <c r="H30" s="36">
        <f>'Ind AIS N°11a'!D8</f>
        <v>0</v>
      </c>
      <c r="I30" s="36">
        <f>'Ind AIS N°11a'!E8</f>
        <v>0</v>
      </c>
      <c r="J30" s="43">
        <f>'Ind AIS N°11a'!F8</f>
        <v>0</v>
      </c>
      <c r="K30" s="75">
        <f>'Ind AIS N°11a'!G8</f>
        <v>0</v>
      </c>
      <c r="L30" s="81">
        <f>'Ind AIS N°11a'!H8</f>
        <v>0</v>
      </c>
      <c r="M30" s="47">
        <f>'Ind AIS N°11a'!I8</f>
        <v>0</v>
      </c>
      <c r="N30" s="81" t="str">
        <f>'Ind AIS N°11a'!J8</f>
        <v>…..</v>
      </c>
      <c r="O30" s="47" t="str">
        <f>'Ind AIS N°11a'!K8</f>
        <v>…..</v>
      </c>
    </row>
    <row r="31" spans="1:16" ht="80.150000000000006" customHeight="1" thickBot="1" x14ac:dyDescent="0.35">
      <c r="B31" s="72" t="s">
        <v>83</v>
      </c>
      <c r="C31" s="268" t="s">
        <v>2</v>
      </c>
      <c r="D31" s="49" t="s">
        <v>117</v>
      </c>
      <c r="E31" s="50" t="s">
        <v>190</v>
      </c>
      <c r="F31" s="58"/>
      <c r="G31" s="61">
        <f>SUM(H31:I31,K31)</f>
        <v>0</v>
      </c>
      <c r="H31" s="36">
        <f>'Ind AIS N°11b'!D8</f>
        <v>0</v>
      </c>
      <c r="I31" s="36">
        <f>'Ind AIS N°11b'!E8</f>
        <v>0</v>
      </c>
      <c r="J31" s="43">
        <f>'Ind AIS N°11b'!F8</f>
        <v>0</v>
      </c>
      <c r="K31" s="75">
        <f>'Ind AIS N°11b'!G8</f>
        <v>0</v>
      </c>
      <c r="L31" s="81">
        <f>'Ind AIS N°11b'!H8</f>
        <v>0</v>
      </c>
      <c r="M31" s="47">
        <f>'Ind AIS N°11b'!I8</f>
        <v>0</v>
      </c>
      <c r="N31" s="81" t="str">
        <f>'Ind AIS N°11b'!J8</f>
        <v>…..</v>
      </c>
      <c r="O31" s="47" t="str">
        <f>'Ind AIS N°11b'!K8</f>
        <v>…..</v>
      </c>
    </row>
    <row r="32" spans="1:16" ht="14.5" thickBot="1" x14ac:dyDescent="0.35">
      <c r="B32" s="434"/>
      <c r="C32" s="434"/>
      <c r="D32" s="434"/>
      <c r="E32" s="434"/>
      <c r="F32" s="434"/>
      <c r="G32" s="434"/>
      <c r="H32" s="434"/>
      <c r="I32" s="434"/>
      <c r="J32" s="434"/>
      <c r="K32" s="434"/>
      <c r="L32" s="434"/>
      <c r="M32" s="434"/>
    </row>
    <row r="33" spans="2:15" ht="45" customHeight="1" thickBot="1" x14ac:dyDescent="0.35">
      <c r="B33" s="51"/>
      <c r="C33" s="268"/>
      <c r="D33" s="342" t="s">
        <v>118</v>
      </c>
      <c r="E33" s="52"/>
      <c r="F33" s="53"/>
      <c r="G33" s="60"/>
      <c r="H33" s="59"/>
      <c r="I33" s="54"/>
      <c r="J33" s="86"/>
      <c r="K33" s="86"/>
      <c r="L33" s="87"/>
      <c r="M33" s="55"/>
      <c r="N33" s="198" t="s">
        <v>81</v>
      </c>
      <c r="O33" s="199" t="s">
        <v>82</v>
      </c>
    </row>
    <row r="34" spans="2:15" ht="80.150000000000006" customHeight="1" thickBot="1" x14ac:dyDescent="0.35">
      <c r="B34" s="72" t="s">
        <v>83</v>
      </c>
      <c r="C34" s="268">
        <v>14</v>
      </c>
      <c r="D34" s="34" t="s">
        <v>118</v>
      </c>
      <c r="E34" s="35" t="s">
        <v>119</v>
      </c>
      <c r="F34" s="53"/>
      <c r="G34" s="61">
        <f>SUM(H34:I34,K34)</f>
        <v>0</v>
      </c>
      <c r="H34" s="36">
        <f>'Ind AIS N°14'!D8</f>
        <v>0</v>
      </c>
      <c r="I34" s="36">
        <f>'Ind AIS N°14'!E8</f>
        <v>0</v>
      </c>
      <c r="J34" s="43">
        <f>'Ind AIS N°14'!F8</f>
        <v>0</v>
      </c>
      <c r="K34" s="75">
        <f>'Ind AIS N°14'!G8</f>
        <v>0</v>
      </c>
      <c r="L34" s="81">
        <f>'Ind AIS N°14'!H8</f>
        <v>0</v>
      </c>
      <c r="M34" s="47">
        <f>'Ind AIS N°14'!I8</f>
        <v>0</v>
      </c>
      <c r="N34" s="81" t="str">
        <f>'Ind AIS N°14'!J8</f>
        <v>…..</v>
      </c>
      <c r="O34" s="47" t="str">
        <f>'Ind AIS N°14'!K8</f>
        <v>…..</v>
      </c>
    </row>
  </sheetData>
  <sheetProtection algorithmName="SHA-512" hashValue="ZYCiqdKZTdwI0r0uYyNyRo2mX90OBlJ7l4eQeP5GLunDiIBtxmZn7fnNDzvMf3Q7du3omLK1ZIriuIhEnNSXiQ==" saltValue="fGWs58aiFZtNvo5Rqu6FMw==" spinCount="100000" sheet="1" selectLockedCells="1" selectUnlockedCells="1"/>
  <customSheetViews>
    <customSheetView guid="{168849A9-FED9-4458-942F-290616B3A25C}" scale="50" showPageBreaks="1" showGridLines="0" fitToPage="1" printArea="1">
      <selection activeCell="A3" sqref="A3:N3"/>
      <pageMargins left="0.70866141732283472" right="0.70866141732283472" top="1.1811023622047245" bottom="0.78740157480314965" header="0.31496062992125984" footer="0.31496062992125984"/>
      <pageSetup paperSize="8" scale="77" fitToHeight="0" orientation="landscape" cellComments="atEnd" r:id="rId1"/>
      <headerFooter>
        <oddHeader>&amp;LKennzahlenraster KIP / IAS&amp;R&amp;G</oddHeader>
        <oddFooter>&amp;L&amp;A&amp;R&amp;P</oddFooter>
      </headerFooter>
    </customSheetView>
  </customSheetViews>
  <mergeCells count="24">
    <mergeCell ref="N20:O20"/>
    <mergeCell ref="N5:O5"/>
    <mergeCell ref="N8:O17"/>
    <mergeCell ref="E13:E14"/>
    <mergeCell ref="B2:D2"/>
    <mergeCell ref="B9:B12"/>
    <mergeCell ref="B13:B14"/>
    <mergeCell ref="D9:D12"/>
    <mergeCell ref="B1:E1"/>
    <mergeCell ref="B16:B17"/>
    <mergeCell ref="B32:M32"/>
    <mergeCell ref="B28:M28"/>
    <mergeCell ref="B25:M25"/>
    <mergeCell ref="B21:M21"/>
    <mergeCell ref="B18:D18"/>
    <mergeCell ref="E16:E17"/>
    <mergeCell ref="D16:D17"/>
    <mergeCell ref="C16:C17"/>
    <mergeCell ref="E9:E12"/>
    <mergeCell ref="C6:M6"/>
    <mergeCell ref="E5:F5"/>
    <mergeCell ref="C9:C12"/>
    <mergeCell ref="C13:C14"/>
    <mergeCell ref="D13:D14"/>
  </mergeCells>
  <pageMargins left="0.70866141732283472" right="0.70866141732283472" top="1.1811023622047245" bottom="0.78740157480314965" header="0.31496062992125984" footer="0.31496062992125984"/>
  <pageSetup paperSize="8" scale="77" fitToHeight="0" orientation="landscape" cellComments="atEnd" r:id="rId2"/>
  <headerFoot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3" tint="0.59999389629810485"/>
    <pageSetUpPr fitToPage="1"/>
  </sheetPr>
  <dimension ref="B1:K65"/>
  <sheetViews>
    <sheetView showGridLines="0" zoomScale="70" zoomScaleNormal="70" zoomScalePageLayoutView="70" workbookViewId="0">
      <selection activeCell="K7" sqref="K7:K16"/>
    </sheetView>
  </sheetViews>
  <sheetFormatPr baseColWidth="10" defaultColWidth="11" defaultRowHeight="14" x14ac:dyDescent="0.3"/>
  <cols>
    <col min="1" max="1" width="2.08203125" style="156" customWidth="1"/>
    <col min="2" max="2" width="40.25" style="156" customWidth="1"/>
    <col min="3" max="9" width="15.83203125" style="156" customWidth="1"/>
    <col min="10" max="10" width="2.58203125" style="156" customWidth="1"/>
    <col min="11" max="11" width="63.58203125" style="156" customWidth="1"/>
    <col min="12" max="12" width="2.08203125" style="156" customWidth="1"/>
    <col min="13" max="16384" width="11" style="156"/>
  </cols>
  <sheetData>
    <row r="1" spans="2:11" s="182" customFormat="1" ht="28" x14ac:dyDescent="0.6">
      <c r="B1" s="471" t="s">
        <v>239</v>
      </c>
      <c r="C1" s="471"/>
      <c r="D1" s="471"/>
      <c r="E1" s="471"/>
      <c r="F1" s="471"/>
      <c r="G1" s="471"/>
      <c r="H1" s="471"/>
      <c r="I1" s="471"/>
    </row>
    <row r="2" spans="2:11" s="182" customFormat="1" x14ac:dyDescent="0.3">
      <c r="B2" s="343"/>
      <c r="C2" s="343"/>
      <c r="D2" s="343"/>
      <c r="E2" s="343"/>
      <c r="F2" s="343"/>
      <c r="G2" s="343"/>
    </row>
    <row r="3" spans="2:11" s="182" customFormat="1" ht="28.5" customHeight="1" x14ac:dyDescent="0.3">
      <c r="B3" s="344" t="s">
        <v>42</v>
      </c>
      <c r="C3" s="473" t="str">
        <f>'Table des matières'!D4</f>
        <v>CH</v>
      </c>
      <c r="D3" s="473"/>
      <c r="E3" s="345"/>
      <c r="F3" s="345"/>
    </row>
    <row r="4" spans="2:11" s="182" customFormat="1" ht="28.5" customHeight="1" x14ac:dyDescent="0.3">
      <c r="B4" s="344" t="s">
        <v>63</v>
      </c>
      <c r="C4" s="472"/>
      <c r="D4" s="472"/>
      <c r="E4" s="345"/>
      <c r="F4" s="345"/>
      <c r="H4" s="183"/>
    </row>
    <row r="5" spans="2:11" ht="14.15" customHeight="1" thickBot="1" x14ac:dyDescent="0.35"/>
    <row r="6" spans="2:11" ht="45" customHeight="1" thickBot="1" x14ac:dyDescent="0.35">
      <c r="B6" s="474"/>
      <c r="C6" s="475"/>
      <c r="D6" s="475"/>
      <c r="E6" s="475"/>
      <c r="F6" s="475"/>
      <c r="G6" s="475"/>
      <c r="H6" s="475"/>
      <c r="I6" s="476"/>
      <c r="K6" s="346" t="s">
        <v>124</v>
      </c>
    </row>
    <row r="7" spans="2:11" s="343" customFormat="1" ht="45" customHeight="1" thickBot="1" x14ac:dyDescent="0.35">
      <c r="B7" s="347" t="s">
        <v>120</v>
      </c>
      <c r="C7" s="348" t="s">
        <v>0</v>
      </c>
      <c r="D7" s="349" t="s">
        <v>74</v>
      </c>
      <c r="E7" s="349" t="s">
        <v>75</v>
      </c>
      <c r="F7" s="349" t="s">
        <v>154</v>
      </c>
      <c r="G7" s="349" t="s">
        <v>76</v>
      </c>
      <c r="H7" s="350" t="s">
        <v>121</v>
      </c>
      <c r="I7" s="351" t="s">
        <v>122</v>
      </c>
      <c r="J7" s="156"/>
      <c r="K7" s="477"/>
    </row>
    <row r="8" spans="2:11" ht="60" customHeight="1" thickBot="1" x14ac:dyDescent="0.35">
      <c r="B8" s="352" t="s">
        <v>231</v>
      </c>
      <c r="C8" s="353">
        <f>SUM(D8:E8,G8)</f>
        <v>0</v>
      </c>
      <c r="D8" s="95"/>
      <c r="E8" s="96"/>
      <c r="F8" s="96"/>
      <c r="G8" s="96"/>
      <c r="H8" s="117"/>
      <c r="I8" s="97"/>
      <c r="K8" s="478"/>
    </row>
    <row r="9" spans="2:11" ht="43.5" customHeight="1" thickBot="1" x14ac:dyDescent="0.35">
      <c r="B9" s="236" t="s">
        <v>193</v>
      </c>
      <c r="C9" s="237">
        <f>SUM(D9:E9,G9)</f>
        <v>7404</v>
      </c>
      <c r="D9" s="235">
        <f>VLOOKUP($C$3,bestand_ias,3,FALSE)</f>
        <v>2995</v>
      </c>
      <c r="E9" s="235">
        <f>VLOOKUP($C$3,bestand_ias,4,FALSE)</f>
        <v>4409</v>
      </c>
      <c r="F9" s="235">
        <f>VLOOKUP($C$3,bestand_ias,5,FALSE)</f>
        <v>9461</v>
      </c>
      <c r="G9" s="235" t="s">
        <v>34</v>
      </c>
      <c r="H9" s="235">
        <f>VLOOKUP($C$3,bestand_ias,6,FALSE)</f>
        <v>1882</v>
      </c>
      <c r="I9" s="233">
        <f>VLOOKUP($C$3,bestand_ias,7,FALSE)</f>
        <v>5522</v>
      </c>
      <c r="K9" s="478"/>
    </row>
    <row r="10" spans="2:11" ht="14.15" customHeight="1" x14ac:dyDescent="0.3">
      <c r="B10" s="182" t="s">
        <v>223</v>
      </c>
      <c r="K10" s="478"/>
    </row>
    <row r="11" spans="2:11" ht="14.15" customHeight="1" x14ac:dyDescent="0.3">
      <c r="B11" s="354" t="s">
        <v>222</v>
      </c>
      <c r="K11" s="478"/>
    </row>
    <row r="12" spans="2:11" ht="14.15" customHeight="1" thickBot="1" x14ac:dyDescent="0.35">
      <c r="K12" s="478"/>
    </row>
    <row r="13" spans="2:11" ht="45" customHeight="1" thickBot="1" x14ac:dyDescent="0.35">
      <c r="B13" s="480" t="s">
        <v>123</v>
      </c>
      <c r="C13" s="481"/>
      <c r="D13" s="481"/>
      <c r="E13" s="481"/>
      <c r="F13" s="481"/>
      <c r="G13" s="481"/>
      <c r="H13" s="481"/>
      <c r="I13" s="482"/>
      <c r="J13" s="355"/>
      <c r="K13" s="478"/>
    </row>
    <row r="14" spans="2:11" ht="37.5" customHeight="1" x14ac:dyDescent="0.3">
      <c r="B14" s="356" t="s">
        <v>125</v>
      </c>
      <c r="C14" s="483" t="s">
        <v>224</v>
      </c>
      <c r="D14" s="483"/>
      <c r="E14" s="483"/>
      <c r="F14" s="483"/>
      <c r="G14" s="483"/>
      <c r="H14" s="483"/>
      <c r="I14" s="484"/>
      <c r="J14" s="158"/>
      <c r="K14" s="478"/>
    </row>
    <row r="15" spans="2:11" ht="134.25" customHeight="1" x14ac:dyDescent="0.3">
      <c r="B15" s="357" t="s">
        <v>67</v>
      </c>
      <c r="C15" s="485" t="s">
        <v>169</v>
      </c>
      <c r="D15" s="485"/>
      <c r="E15" s="485"/>
      <c r="F15" s="485"/>
      <c r="G15" s="485"/>
      <c r="H15" s="485"/>
      <c r="I15" s="486"/>
      <c r="J15" s="158"/>
      <c r="K15" s="478"/>
    </row>
    <row r="16" spans="2:11" ht="67" customHeight="1" thickBot="1" x14ac:dyDescent="0.35">
      <c r="B16" s="358" t="s">
        <v>126</v>
      </c>
      <c r="C16" s="487" t="s">
        <v>194</v>
      </c>
      <c r="D16" s="487"/>
      <c r="E16" s="487"/>
      <c r="F16" s="487"/>
      <c r="G16" s="487"/>
      <c r="H16" s="487"/>
      <c r="I16" s="488"/>
      <c r="J16" s="158"/>
      <c r="K16" s="479"/>
    </row>
    <row r="17" spans="3:3" ht="14.15" customHeight="1" x14ac:dyDescent="0.3"/>
    <row r="18" spans="3:3" ht="14.15" customHeight="1" x14ac:dyDescent="0.3"/>
    <row r="19" spans="3:3" ht="14.15" customHeight="1" x14ac:dyDescent="0.3"/>
    <row r="20" spans="3:3" ht="14.15" customHeight="1" x14ac:dyDescent="0.3">
      <c r="C20" s="359"/>
    </row>
    <row r="21" spans="3:3" ht="14.15" customHeight="1" x14ac:dyDescent="0.3"/>
    <row r="22" spans="3:3" ht="14.15" customHeight="1" x14ac:dyDescent="0.3"/>
    <row r="23" spans="3:3" ht="14.15" customHeight="1" x14ac:dyDescent="0.3"/>
    <row r="24" spans="3:3" ht="14.15" customHeight="1" x14ac:dyDescent="0.3"/>
    <row r="25" spans="3:3" ht="14.15" customHeight="1" x14ac:dyDescent="0.3"/>
    <row r="26" spans="3:3" ht="14.15" customHeight="1" x14ac:dyDescent="0.3"/>
    <row r="27" spans="3:3" ht="14.15" customHeight="1" x14ac:dyDescent="0.3"/>
    <row r="28" spans="3:3" ht="14.15" customHeight="1" x14ac:dyDescent="0.3"/>
    <row r="29" spans="3:3" ht="14.15" customHeight="1" x14ac:dyDescent="0.3"/>
    <row r="30" spans="3:3" ht="14.15" customHeight="1" x14ac:dyDescent="0.3"/>
    <row r="31" spans="3:3" ht="14.15" customHeight="1" x14ac:dyDescent="0.3"/>
    <row r="32" spans="3:3" ht="14.15" customHeight="1" x14ac:dyDescent="0.3"/>
    <row r="33" s="156" customFormat="1" ht="14.15" customHeight="1" x14ac:dyDescent="0.3"/>
    <row r="34" s="156" customFormat="1" ht="14.15" customHeight="1" x14ac:dyDescent="0.3"/>
    <row r="35" s="156" customFormat="1" ht="14.15" customHeight="1" x14ac:dyDescent="0.3"/>
    <row r="36" s="156" customFormat="1" ht="14.15" customHeight="1" x14ac:dyDescent="0.3"/>
    <row r="37" s="156" customFormat="1" ht="14.15" customHeight="1" x14ac:dyDescent="0.3"/>
    <row r="38" s="156" customFormat="1" ht="14.15" customHeight="1" x14ac:dyDescent="0.3"/>
    <row r="39" s="156" customFormat="1" ht="14.15" customHeight="1" x14ac:dyDescent="0.3"/>
    <row r="40" s="156" customFormat="1" ht="14.15" customHeight="1" x14ac:dyDescent="0.3"/>
    <row r="41" s="156" customFormat="1" ht="14.15" customHeight="1" x14ac:dyDescent="0.3"/>
    <row r="42" s="156" customFormat="1" ht="14.15" customHeight="1" x14ac:dyDescent="0.3"/>
    <row r="43" s="156" customFormat="1" ht="14.15" customHeight="1" x14ac:dyDescent="0.3"/>
    <row r="44" s="156" customFormat="1" ht="14.15" customHeight="1" x14ac:dyDescent="0.3"/>
    <row r="45" s="156" customFormat="1" ht="14.15" customHeight="1" x14ac:dyDescent="0.3"/>
    <row r="46" s="156" customFormat="1" ht="14.15" customHeight="1" x14ac:dyDescent="0.3"/>
    <row r="47" s="156" customFormat="1" ht="14.15" customHeight="1" x14ac:dyDescent="0.3"/>
    <row r="48" s="156" customFormat="1" ht="14.15" customHeight="1" x14ac:dyDescent="0.3"/>
    <row r="49" s="156" customFormat="1" ht="14.15" customHeight="1" x14ac:dyDescent="0.3"/>
    <row r="50" s="156" customFormat="1" ht="14.15" customHeight="1" x14ac:dyDescent="0.3"/>
    <row r="51" s="156" customFormat="1" ht="14.15" customHeight="1" x14ac:dyDescent="0.3"/>
    <row r="52" s="156" customFormat="1" ht="14.15" customHeight="1" x14ac:dyDescent="0.3"/>
    <row r="53" s="156" customFormat="1" ht="14.15" customHeight="1" x14ac:dyDescent="0.3"/>
    <row r="54" s="156" customFormat="1" ht="14.15" customHeight="1" x14ac:dyDescent="0.3"/>
    <row r="55" s="156" customFormat="1" ht="14.15" customHeight="1" x14ac:dyDescent="0.3"/>
    <row r="56" s="156" customFormat="1" ht="14.15" customHeight="1" x14ac:dyDescent="0.3"/>
    <row r="57" s="156" customFormat="1" ht="14.15" customHeight="1" x14ac:dyDescent="0.3"/>
    <row r="58" s="156" customFormat="1" ht="14.15" customHeight="1" x14ac:dyDescent="0.3"/>
    <row r="59" s="156" customFormat="1" ht="14.15" customHeight="1" x14ac:dyDescent="0.3"/>
    <row r="60" s="156" customFormat="1" ht="14.15" customHeight="1" x14ac:dyDescent="0.3"/>
    <row r="61" s="156" customFormat="1" ht="14.15" customHeight="1" x14ac:dyDescent="0.3"/>
    <row r="62" s="156" customFormat="1" ht="14.15" customHeight="1" x14ac:dyDescent="0.3"/>
    <row r="63" s="156" customFormat="1" ht="14.15" customHeight="1" x14ac:dyDescent="0.3"/>
    <row r="64" s="156" customFormat="1" ht="14.15" customHeight="1" x14ac:dyDescent="0.3"/>
    <row r="65" s="156" customFormat="1" ht="14.15" customHeight="1" x14ac:dyDescent="0.3"/>
  </sheetData>
  <sheetProtection algorithmName="SHA-512" hashValue="0hH9cSX4KNHHAfR0AYajOlJiVndF7xpTw7XJX6jWZCOkqY2zwf8/K8G1TI37cm0r0wpbwD06IpOWOKLeDxuL4Q==" saltValue="+55o1gTlKxp5MJF7xR8ypQ==" spinCount="100000" sheet="1" selectLockedCells="1"/>
  <protectedRanges>
    <protectedRange password="CAA2" sqref="C8:C9" name="Summe"/>
  </protectedRanges>
  <sortState xmlns:xlrd2="http://schemas.microsoft.com/office/spreadsheetml/2017/richdata2" ref="B5:B31">
    <sortCondition ref="B5"/>
  </sortState>
  <customSheetViews>
    <customSheetView guid="{168849A9-FED9-4458-942F-290616B3A25C}" scale="70" showPageBreaks="1" showGridLines="0" fitToPage="1" printArea="1" view="pageLayout" topLeftCell="A7">
      <selection activeCell="C15" sqref="C15:H15"/>
      <pageMargins left="0.70866141732283472" right="0.70866141732283472" top="1.1811023622047245" bottom="0.78740157480314965" header="0.31496062992125984" footer="0.31496062992125984"/>
      <pageSetup paperSize="8" scale="87" fitToHeight="0" orientation="landscape" cellComments="atEnd" r:id="rId1"/>
      <headerFooter>
        <oddHeader>&amp;LKennzahlenraster KIP / IAS&amp;R&amp;G</oddHeader>
        <oddFooter>&amp;L&amp;A: Erstinformation&amp;R&amp;P</oddFooter>
      </headerFooter>
    </customSheetView>
  </customSheetViews>
  <mergeCells count="9">
    <mergeCell ref="B1:I1"/>
    <mergeCell ref="C4:D4"/>
    <mergeCell ref="C3:D3"/>
    <mergeCell ref="B6:I6"/>
    <mergeCell ref="K7:K16"/>
    <mergeCell ref="B13:I13"/>
    <mergeCell ref="C14:I14"/>
    <mergeCell ref="C15:I15"/>
    <mergeCell ref="C16:I16"/>
  </mergeCells>
  <dataValidations count="3">
    <dataValidation type="whole" operator="greaterThanOrEqual" allowBlank="1" showErrorMessage="1" errorTitle="Fehler" error="Gültig sind nur positive, ganze Zahlen (0, 200, etc.). Kein Text" promptTitle="Ganze Zahlen" prompt="Nur ganzzahlige Werte (0, 1, 200 etc.)" sqref="D8:I8" xr:uid="{00000000-0002-0000-0400-000000000000}">
      <formula1>0</formula1>
    </dataValidation>
    <dataValidation type="date" allowBlank="1" showInputMessage="1" showErrorMessage="1" error="Veuillez saisir une date de saisie comprise entre le 01.01.2024 et le 31.12.2024." promptTitle="Date de la saisie " prompt="Veuillez saisir la date de la saisie des données" sqref="C4:D4" xr:uid="{00000000-0002-0000-0400-000001000000}">
      <formula1>45292</formula1>
      <formula2>45657</formula2>
    </dataValidation>
    <dataValidation operator="greaterThanOrEqual" allowBlank="1" sqref="D9:I9" xr:uid="{00000000-0002-0000-0400-000002000000}"/>
  </dataValidations>
  <pageMargins left="0.70866141732283472" right="0.70866141732283472" top="1.1811023622047245" bottom="0.78740157480314965" header="0.31496062992125984" footer="0.31496062992125984"/>
  <pageSetup paperSize="8" scale="87" fitToHeight="0" orientation="landscape" cellComments="atEnd" r:id="rId2"/>
  <headerFooter>
    <oddFooter>&amp;L&amp;A: Erstinformation&amp;R&amp;P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3" tint="0.59999389629810485"/>
    <pageSetUpPr fitToPage="1"/>
  </sheetPr>
  <dimension ref="B1:L46"/>
  <sheetViews>
    <sheetView showGridLines="0" zoomScale="70" zoomScaleNormal="70" workbookViewId="0">
      <selection activeCell="E9" sqref="E9"/>
    </sheetView>
  </sheetViews>
  <sheetFormatPr baseColWidth="10" defaultColWidth="11" defaultRowHeight="14" x14ac:dyDescent="0.3"/>
  <cols>
    <col min="1" max="1" width="2.08203125" style="13" customWidth="1"/>
    <col min="2" max="2" width="40.83203125" style="13" customWidth="1"/>
    <col min="3" max="3" width="30.83203125" style="13" customWidth="1"/>
    <col min="4" max="10" width="15.83203125" style="13" customWidth="1"/>
    <col min="11" max="11" width="2.58203125" style="13" customWidth="1"/>
    <col min="12" max="12" width="63.58203125" style="13" customWidth="1"/>
    <col min="13" max="13" width="2.08203125" style="13" customWidth="1"/>
    <col min="14" max="16384" width="11" style="13"/>
  </cols>
  <sheetData>
    <row r="1" spans="2:12" s="1" customFormat="1" ht="28" x14ac:dyDescent="0.6">
      <c r="B1" s="492" t="s">
        <v>240</v>
      </c>
      <c r="C1" s="492"/>
      <c r="D1" s="492"/>
      <c r="E1" s="492"/>
      <c r="F1" s="492"/>
      <c r="G1" s="492"/>
      <c r="H1" s="492"/>
      <c r="I1" s="492"/>
      <c r="J1" s="492"/>
    </row>
    <row r="2" spans="2:12" s="1" customFormat="1" x14ac:dyDescent="0.3">
      <c r="B2" s="16"/>
      <c r="C2" s="16"/>
      <c r="E2" s="16"/>
      <c r="F2" s="16"/>
      <c r="G2" s="16"/>
    </row>
    <row r="3" spans="2:12" s="1" customFormat="1" ht="28.5" customHeight="1" x14ac:dyDescent="0.3">
      <c r="B3" s="275" t="s">
        <v>42</v>
      </c>
      <c r="C3" s="114" t="str">
        <f>'Table des matières'!D4</f>
        <v>CH</v>
      </c>
      <c r="E3" s="92"/>
      <c r="F3" s="92"/>
    </row>
    <row r="4" spans="2:12" s="1" customFormat="1" ht="28.5" customHeight="1" x14ac:dyDescent="0.3">
      <c r="B4" s="275" t="s">
        <v>63</v>
      </c>
      <c r="C4" s="115"/>
      <c r="E4" s="92"/>
      <c r="F4" s="92"/>
      <c r="H4" s="93"/>
    </row>
    <row r="5" spans="2:12" ht="14.15" customHeight="1" thickBot="1" x14ac:dyDescent="0.35">
      <c r="B5" s="15"/>
      <c r="C5" s="15"/>
    </row>
    <row r="6" spans="2:12" ht="45" customHeight="1" thickBot="1" x14ac:dyDescent="0.35">
      <c r="B6" s="489"/>
      <c r="C6" s="490"/>
      <c r="D6" s="490"/>
      <c r="E6" s="490"/>
      <c r="F6" s="490"/>
      <c r="G6" s="490"/>
      <c r="H6" s="490"/>
      <c r="I6" s="490"/>
      <c r="J6" s="491"/>
      <c r="L6" s="66" t="s">
        <v>124</v>
      </c>
    </row>
    <row r="7" spans="2:12" s="16" customFormat="1" ht="45" customHeight="1" thickBot="1" x14ac:dyDescent="0.35">
      <c r="B7" s="154" t="s">
        <v>120</v>
      </c>
      <c r="C7" s="149"/>
      <c r="D7" s="150" t="s">
        <v>0</v>
      </c>
      <c r="E7" s="151" t="s">
        <v>74</v>
      </c>
      <c r="F7" s="151" t="s">
        <v>75</v>
      </c>
      <c r="G7" s="151" t="s">
        <v>154</v>
      </c>
      <c r="H7" s="151" t="s">
        <v>76</v>
      </c>
      <c r="I7" s="152" t="s">
        <v>121</v>
      </c>
      <c r="J7" s="147" t="s">
        <v>122</v>
      </c>
      <c r="K7" s="119"/>
      <c r="L7" s="477"/>
    </row>
    <row r="8" spans="2:12" ht="50.15" customHeight="1" x14ac:dyDescent="0.3">
      <c r="B8" s="499" t="s">
        <v>192</v>
      </c>
      <c r="C8" s="22" t="s">
        <v>127</v>
      </c>
      <c r="D8" s="99">
        <f>SUM(E8:F8,H8)</f>
        <v>0</v>
      </c>
      <c r="E8" s="95"/>
      <c r="F8" s="95"/>
      <c r="G8" s="96"/>
      <c r="H8" s="96"/>
      <c r="I8" s="117"/>
      <c r="J8" s="97"/>
      <c r="L8" s="478"/>
    </row>
    <row r="9" spans="2:12" ht="50.15" customHeight="1" x14ac:dyDescent="0.3">
      <c r="B9" s="500"/>
      <c r="C9" s="270" t="s">
        <v>128</v>
      </c>
      <c r="D9" s="100">
        <f t="shared" ref="D9:D11" si="0">SUM(E9:F9,H9)</f>
        <v>0</v>
      </c>
      <c r="E9" s="101"/>
      <c r="F9" s="101"/>
      <c r="G9" s="102"/>
      <c r="H9" s="102"/>
      <c r="I9" s="102"/>
      <c r="J9" s="103"/>
      <c r="L9" s="478"/>
    </row>
    <row r="10" spans="2:12" ht="50.15" customHeight="1" x14ac:dyDescent="0.3">
      <c r="B10" s="500"/>
      <c r="C10" s="270" t="s">
        <v>129</v>
      </c>
      <c r="D10" s="100">
        <f>SUM(E10:F10,H10)</f>
        <v>0</v>
      </c>
      <c r="E10" s="101"/>
      <c r="F10" s="101"/>
      <c r="G10" s="102"/>
      <c r="H10" s="102"/>
      <c r="I10" s="102"/>
      <c r="J10" s="103"/>
      <c r="L10" s="478"/>
    </row>
    <row r="11" spans="2:12" ht="50.15" customHeight="1" thickBot="1" x14ac:dyDescent="0.35">
      <c r="B11" s="500"/>
      <c r="C11" s="23" t="s">
        <v>130</v>
      </c>
      <c r="D11" s="104">
        <f t="shared" si="0"/>
        <v>0</v>
      </c>
      <c r="E11" s="105"/>
      <c r="F11" s="105"/>
      <c r="G11" s="106"/>
      <c r="H11" s="106"/>
      <c r="I11" s="106"/>
      <c r="J11" s="107"/>
      <c r="L11" s="478"/>
    </row>
    <row r="12" spans="2:12" ht="50.15" customHeight="1" thickBot="1" x14ac:dyDescent="0.35">
      <c r="B12" s="500"/>
      <c r="C12" s="276" t="s">
        <v>0</v>
      </c>
      <c r="D12" s="116">
        <f>SUM(E12:F12,H12)</f>
        <v>0</v>
      </c>
      <c r="E12" s="289">
        <f>SUM(E8:E11)</f>
        <v>0</v>
      </c>
      <c r="F12" s="109">
        <f t="shared" ref="F12:J12" si="1">SUM(F8:F11)</f>
        <v>0</v>
      </c>
      <c r="G12" s="109">
        <f t="shared" si="1"/>
        <v>0</v>
      </c>
      <c r="H12" s="109">
        <f>SUM(H8:H11)</f>
        <v>0</v>
      </c>
      <c r="I12" s="109">
        <f t="shared" si="1"/>
        <v>0</v>
      </c>
      <c r="J12" s="110">
        <f t="shared" si="1"/>
        <v>0</v>
      </c>
      <c r="L12" s="478"/>
    </row>
    <row r="13" spans="2:12" ht="43.5" customHeight="1" thickBot="1" x14ac:dyDescent="0.35">
      <c r="B13" s="228" t="s">
        <v>193</v>
      </c>
      <c r="C13" s="228"/>
      <c r="D13" s="229">
        <f>SUM(E13:F13,H13)</f>
        <v>7404</v>
      </c>
      <c r="E13" s="231">
        <f>VLOOKUP($C$3,bestand_ias,3,FALSE)</f>
        <v>2995</v>
      </c>
      <c r="F13" s="235">
        <f>VLOOKUP($C$3,bestand_ias,4,FALSE)</f>
        <v>4409</v>
      </c>
      <c r="G13" s="232">
        <f>VLOOKUP($C$3,bestand_ias,5,FALSE)</f>
        <v>9461</v>
      </c>
      <c r="H13" s="232" t="s">
        <v>34</v>
      </c>
      <c r="I13" s="232">
        <f>VLOOKUP($C$3,bestand_ias,6,FALSE)</f>
        <v>1882</v>
      </c>
      <c r="J13" s="233">
        <f>VLOOKUP($C$3,bestand_ias,7,FALSE)</f>
        <v>5522</v>
      </c>
      <c r="L13" s="478"/>
    </row>
    <row r="14" spans="2:12" ht="14.15" customHeight="1" x14ac:dyDescent="0.3">
      <c r="B14" s="1" t="s">
        <v>223</v>
      </c>
      <c r="L14" s="478"/>
    </row>
    <row r="15" spans="2:12" ht="14.15" customHeight="1" x14ac:dyDescent="0.3">
      <c r="B15" s="324" t="s">
        <v>222</v>
      </c>
      <c r="L15" s="478"/>
    </row>
    <row r="16" spans="2:12" ht="14.15" customHeight="1" thickBot="1" x14ac:dyDescent="0.35">
      <c r="L16" s="478"/>
    </row>
    <row r="17" spans="2:12" ht="45" customHeight="1" thickBot="1" x14ac:dyDescent="0.35">
      <c r="B17" s="493" t="s">
        <v>123</v>
      </c>
      <c r="C17" s="494"/>
      <c r="D17" s="494"/>
      <c r="E17" s="494"/>
      <c r="F17" s="494"/>
      <c r="G17" s="494"/>
      <c r="H17" s="494"/>
      <c r="I17" s="494"/>
      <c r="J17" s="495"/>
      <c r="K17" s="14"/>
      <c r="L17" s="478"/>
    </row>
    <row r="18" spans="2:12" ht="81" customHeight="1" x14ac:dyDescent="0.3">
      <c r="B18" s="18" t="s">
        <v>125</v>
      </c>
      <c r="C18" s="501" t="s">
        <v>225</v>
      </c>
      <c r="D18" s="502"/>
      <c r="E18" s="502"/>
      <c r="F18" s="502"/>
      <c r="G18" s="502"/>
      <c r="H18" s="502"/>
      <c r="I18" s="502"/>
      <c r="J18" s="503"/>
      <c r="K18" s="12"/>
      <c r="L18" s="478"/>
    </row>
    <row r="19" spans="2:12" ht="155.5" customHeight="1" x14ac:dyDescent="0.3">
      <c r="B19" s="19" t="s">
        <v>67</v>
      </c>
      <c r="C19" s="504" t="s">
        <v>181</v>
      </c>
      <c r="D19" s="505"/>
      <c r="E19" s="505"/>
      <c r="F19" s="505"/>
      <c r="G19" s="505"/>
      <c r="H19" s="505"/>
      <c r="I19" s="505"/>
      <c r="J19" s="506"/>
      <c r="K19" s="12"/>
      <c r="L19" s="478"/>
    </row>
    <row r="20" spans="2:12" ht="48.75" customHeight="1" thickBot="1" x14ac:dyDescent="0.35">
      <c r="B20" s="20" t="s">
        <v>126</v>
      </c>
      <c r="C20" s="496" t="s">
        <v>194</v>
      </c>
      <c r="D20" s="497"/>
      <c r="E20" s="497"/>
      <c r="F20" s="497"/>
      <c r="G20" s="497"/>
      <c r="H20" s="497"/>
      <c r="I20" s="497"/>
      <c r="J20" s="498"/>
      <c r="K20" s="12"/>
      <c r="L20" s="479"/>
    </row>
    <row r="21" spans="2:12" ht="14.15" customHeight="1" x14ac:dyDescent="0.3"/>
    <row r="22" spans="2:12" ht="14.15" customHeight="1" x14ac:dyDescent="0.3"/>
    <row r="23" spans="2:12" ht="14.15" customHeight="1" x14ac:dyDescent="0.3"/>
    <row r="24" spans="2:12" ht="14.15" customHeight="1" x14ac:dyDescent="0.3">
      <c r="D24" s="17"/>
    </row>
    <row r="25" spans="2:12" ht="14.15" customHeight="1" x14ac:dyDescent="0.3"/>
    <row r="26" spans="2:12" ht="14.15" customHeight="1" x14ac:dyDescent="0.3"/>
    <row r="27" spans="2:12" ht="14.15" customHeight="1" x14ac:dyDescent="0.3"/>
    <row r="28" spans="2:12" ht="14.15" customHeight="1" x14ac:dyDescent="0.3"/>
    <row r="29" spans="2:12" ht="14.15" customHeight="1" x14ac:dyDescent="0.3"/>
    <row r="30" spans="2:12" ht="14.15" customHeight="1" x14ac:dyDescent="0.3"/>
    <row r="31" spans="2:12" ht="14.15" customHeight="1" x14ac:dyDescent="0.3"/>
    <row r="32" spans="2:12"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row r="41" ht="14.15" customHeight="1" x14ac:dyDescent="0.3"/>
    <row r="42" ht="14.15" customHeight="1" x14ac:dyDescent="0.3"/>
    <row r="43" ht="14.15" customHeight="1" x14ac:dyDescent="0.3"/>
    <row r="44" ht="14.15" customHeight="1" x14ac:dyDescent="0.3"/>
    <row r="45" ht="14.15" customHeight="1" x14ac:dyDescent="0.3"/>
    <row r="46" ht="14.15" customHeight="1" x14ac:dyDescent="0.3"/>
  </sheetData>
  <sheetProtection algorithmName="SHA-512" hashValue="kwDorKny5fnqLdhBe4be/stYvOd5XIJ+lTd0uq9vP6xfjTHTd37OBnbtCss14L5+MABqnhaiVivw1PNPzVBGwA==" saltValue="deyTTmnMo3Sfn6JY34XcuA==" spinCount="100000" sheet="1" selectLockedCells="1"/>
  <protectedRanges>
    <protectedRange password="CAA2" sqref="D8:D13" name="Summe"/>
  </protectedRanges>
  <customSheetViews>
    <customSheetView guid="{168849A9-FED9-4458-942F-290616B3A25C}" scale="85" showPageBreaks="1" showGridLines="0" fitToPage="1" printArea="1" topLeftCell="A13">
      <selection activeCell="C17" sqref="C17:I17"/>
      <pageMargins left="0.70866141732283472" right="0.70866141732283472" top="1.1811023622047245" bottom="0.78740157480314965" header="0.31496062992125984" footer="0.31496062992125984"/>
      <pageSetup paperSize="8" scale="77" fitToHeight="0" orientation="landscape" cellComments="atEnd" r:id="rId1"/>
      <headerFooter>
        <oddHeader>&amp;LKennzahlenraster KIP / IAS&amp;R&amp;G</oddHeader>
        <oddFooter>&amp;L&amp;A: Arbeitserfahrung&amp;R&amp;P</oddFooter>
      </headerFooter>
    </customSheetView>
  </customSheetViews>
  <mergeCells count="8">
    <mergeCell ref="B6:J6"/>
    <mergeCell ref="B1:J1"/>
    <mergeCell ref="L7:L20"/>
    <mergeCell ref="B17:J17"/>
    <mergeCell ref="C20:J20"/>
    <mergeCell ref="B8:B12"/>
    <mergeCell ref="C18:J18"/>
    <mergeCell ref="C19:J19"/>
  </mergeCells>
  <dataValidations count="4">
    <dataValidation type="whole" operator="greaterThanOrEqual" allowBlank="1" showErrorMessage="1" errorTitle="Fehler" error="Gültig sind nur positive, ganze Zahlen (0, 200, etc.). Kein Text" promptTitle="Ganze Zahlen" prompt="Nur ganzzahlige Werte (0, 1, 200 etc.)" sqref="E8:J12" xr:uid="{00000000-0002-0000-0500-000000000000}">
      <formula1>0</formula1>
    </dataValidation>
    <dataValidation type="date" allowBlank="1" showInputMessage="1" showErrorMessage="1" errorTitle="Erfassungsdatum" error="Bitte Erfassungsdatum eingeben" promptTitle="Erfassungsdatum" prompt="Bitte Erfassungsdatum eingeben" sqref="D4" xr:uid="{00000000-0002-0000-0500-000001000000}">
      <formula1>44197</formula1>
      <formula2>44561</formula2>
    </dataValidation>
    <dataValidation operator="greaterThanOrEqual" allowBlank="1" promptTitle="Ganze Zahlen" sqref="E13:J13" xr:uid="{00000000-0002-0000-0500-000002000000}"/>
    <dataValidation type="date" allowBlank="1" showInputMessage="1" showErrorMessage="1" error="Veuillez saisir une date de saisie comprise entre le 01.01.2024 et le 31.12.2024." promptTitle="Date de la saisie" prompt="Veuillez saisir la date de la saisie des données" sqref="C4" xr:uid="{00000000-0002-0000-0500-000003000000}">
      <formula1>45292</formula1>
      <formula2>45657</formula2>
    </dataValidation>
  </dataValidations>
  <pageMargins left="0.70866141732283472" right="0.70866141732283472" top="1.1811023622047245" bottom="0.78740157480314965" header="0.31496062992125984" footer="0.31496062992125984"/>
  <pageSetup paperSize="8" scale="77" fitToHeight="0" orientation="landscape" cellComments="atEnd" r:id="rId2"/>
  <headerFooter>
    <oddFooter>&amp;L&amp;A: Arbeitserfahrung&amp;R&amp;P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3" tint="0.59999389629810485"/>
    <pageSetUpPr fitToPage="1"/>
  </sheetPr>
  <dimension ref="B1:L77"/>
  <sheetViews>
    <sheetView showGridLines="0" zoomScale="70" zoomScaleNormal="70" workbookViewId="0">
      <selection activeCell="G8" sqref="G8"/>
    </sheetView>
  </sheetViews>
  <sheetFormatPr baseColWidth="10" defaultColWidth="11" defaultRowHeight="14" x14ac:dyDescent="0.3"/>
  <cols>
    <col min="1" max="1" width="2.08203125" style="13" customWidth="1"/>
    <col min="2" max="2" width="39.75" style="13" customWidth="1"/>
    <col min="3" max="3" width="12.08203125" style="13" customWidth="1"/>
    <col min="4" max="10" width="15.83203125" style="13" customWidth="1"/>
    <col min="11" max="11" width="2.58203125" style="13" customWidth="1"/>
    <col min="12" max="12" width="63.58203125" style="13" customWidth="1"/>
    <col min="13" max="13" width="2.08203125" style="13" customWidth="1"/>
    <col min="14" max="16384" width="11" style="13"/>
  </cols>
  <sheetData>
    <row r="1" spans="2:12" s="1" customFormat="1" ht="25" x14ac:dyDescent="0.5">
      <c r="B1" s="507" t="s">
        <v>241</v>
      </c>
      <c r="C1" s="507"/>
      <c r="D1" s="507"/>
      <c r="E1" s="507"/>
      <c r="F1" s="507"/>
      <c r="G1" s="507"/>
      <c r="H1" s="507"/>
      <c r="I1" s="507"/>
      <c r="J1" s="507"/>
    </row>
    <row r="2" spans="2:12" s="1" customFormat="1" x14ac:dyDescent="0.3">
      <c r="B2" s="16"/>
      <c r="C2" s="16"/>
      <c r="D2" s="16"/>
      <c r="E2" s="16"/>
      <c r="F2" s="16"/>
      <c r="G2" s="16"/>
    </row>
    <row r="3" spans="2:12" s="1" customFormat="1" ht="28.5" customHeight="1" x14ac:dyDescent="0.3">
      <c r="B3" s="275" t="s">
        <v>42</v>
      </c>
      <c r="C3" s="508" t="str">
        <f>'Table des matières'!D4</f>
        <v>CH</v>
      </c>
      <c r="D3" s="508"/>
      <c r="E3" s="92"/>
      <c r="F3" s="92"/>
    </row>
    <row r="4" spans="2:12" s="1" customFormat="1" ht="28.5" customHeight="1" x14ac:dyDescent="0.3">
      <c r="B4" s="275" t="s">
        <v>63</v>
      </c>
      <c r="C4" s="472"/>
      <c r="D4" s="472"/>
      <c r="E4" s="92"/>
      <c r="F4" s="92"/>
      <c r="H4" s="93"/>
    </row>
    <row r="5" spans="2:12" ht="14.15" customHeight="1" thickBot="1" x14ac:dyDescent="0.35"/>
    <row r="6" spans="2:12" ht="45" customHeight="1" thickBot="1" x14ac:dyDescent="0.35">
      <c r="B6" s="511"/>
      <c r="C6" s="512"/>
      <c r="D6" s="512"/>
      <c r="E6" s="512"/>
      <c r="F6" s="512"/>
      <c r="G6" s="512"/>
      <c r="H6" s="512"/>
      <c r="I6" s="512"/>
      <c r="J6" s="513"/>
      <c r="L6" s="66" t="s">
        <v>124</v>
      </c>
    </row>
    <row r="7" spans="2:12" s="16" customFormat="1" ht="45" customHeight="1" thickBot="1" x14ac:dyDescent="0.35">
      <c r="B7" s="154" t="s">
        <v>120</v>
      </c>
      <c r="C7" s="149"/>
      <c r="D7" s="150" t="s">
        <v>0</v>
      </c>
      <c r="E7" s="151" t="s">
        <v>74</v>
      </c>
      <c r="F7" s="151" t="s">
        <v>75</v>
      </c>
      <c r="G7" s="151" t="s">
        <v>154</v>
      </c>
      <c r="H7" s="151" t="s">
        <v>76</v>
      </c>
      <c r="I7" s="152" t="s">
        <v>121</v>
      </c>
      <c r="J7" s="155" t="s">
        <v>122</v>
      </c>
      <c r="K7" s="119"/>
      <c r="L7" s="477"/>
    </row>
    <row r="8" spans="2:12" ht="60" customHeight="1" x14ac:dyDescent="0.3">
      <c r="B8" s="499" t="s">
        <v>195</v>
      </c>
      <c r="C8" s="271" t="s">
        <v>95</v>
      </c>
      <c r="D8" s="100">
        <f>SUM(E8:F8,H8)</f>
        <v>0</v>
      </c>
      <c r="E8" s="95"/>
      <c r="F8" s="95"/>
      <c r="G8" s="96"/>
      <c r="H8" s="96"/>
      <c r="I8" s="117"/>
      <c r="J8" s="97"/>
      <c r="L8" s="478"/>
    </row>
    <row r="9" spans="2:12" ht="60" customHeight="1" thickBot="1" x14ac:dyDescent="0.35">
      <c r="B9" s="500"/>
      <c r="C9" s="271" t="s">
        <v>96</v>
      </c>
      <c r="D9" s="100">
        <f>SUM(E9:F9,H9)</f>
        <v>0</v>
      </c>
      <c r="E9" s="105"/>
      <c r="F9" s="105"/>
      <c r="G9" s="106"/>
      <c r="H9" s="106"/>
      <c r="I9" s="106"/>
      <c r="J9" s="107"/>
      <c r="L9" s="478"/>
    </row>
    <row r="10" spans="2:12" ht="60" customHeight="1" thickBot="1" x14ac:dyDescent="0.35">
      <c r="B10" s="514"/>
      <c r="C10" s="276" t="s">
        <v>0</v>
      </c>
      <c r="D10" s="116">
        <f>SUM(E10:F10,H10)</f>
        <v>0</v>
      </c>
      <c r="E10" s="111">
        <f>SUM(E8:E9)</f>
        <v>0</v>
      </c>
      <c r="F10" s="288">
        <f t="shared" ref="F10:J10" si="0">SUM(F8:F9)</f>
        <v>0</v>
      </c>
      <c r="G10" s="112">
        <f t="shared" si="0"/>
        <v>0</v>
      </c>
      <c r="H10" s="112">
        <f t="shared" si="0"/>
        <v>0</v>
      </c>
      <c r="I10" s="112">
        <f t="shared" si="0"/>
        <v>0</v>
      </c>
      <c r="J10" s="113">
        <f t="shared" si="0"/>
        <v>0</v>
      </c>
      <c r="L10" s="478"/>
    </row>
    <row r="11" spans="2:12" ht="43.5" customHeight="1" thickBot="1" x14ac:dyDescent="0.35">
      <c r="B11" s="234" t="s">
        <v>193</v>
      </c>
      <c r="C11" s="228"/>
      <c r="D11" s="229">
        <f>SUM(E11:F11,H11)</f>
        <v>7404</v>
      </c>
      <c r="E11" s="235">
        <f>VLOOKUP($C$3,bestand_ias,3,FALSE)</f>
        <v>2995</v>
      </c>
      <c r="F11" s="235">
        <f>VLOOKUP($C$3,bestand_ias,4,FALSE)</f>
        <v>4409</v>
      </c>
      <c r="G11" s="232">
        <f>VLOOKUP($C$3,bestand_ias,5,FALSE)</f>
        <v>9461</v>
      </c>
      <c r="H11" s="232" t="s">
        <v>34</v>
      </c>
      <c r="I11" s="232">
        <f>VLOOKUP($C$3,bestand_ias,6,FALSE)</f>
        <v>1882</v>
      </c>
      <c r="J11" s="233">
        <f>VLOOKUP($C$3,bestand_ias,7,FALSE)</f>
        <v>5522</v>
      </c>
      <c r="L11" s="478"/>
    </row>
    <row r="12" spans="2:12" ht="14.15" customHeight="1" x14ac:dyDescent="0.3">
      <c r="B12" s="1" t="s">
        <v>223</v>
      </c>
      <c r="L12" s="478"/>
    </row>
    <row r="13" spans="2:12" ht="14.15" customHeight="1" x14ac:dyDescent="0.3">
      <c r="B13" s="324" t="s">
        <v>222</v>
      </c>
      <c r="L13" s="478"/>
    </row>
    <row r="14" spans="2:12" ht="14.15" customHeight="1" thickBot="1" x14ac:dyDescent="0.35">
      <c r="L14" s="478"/>
    </row>
    <row r="15" spans="2:12" ht="45" customHeight="1" thickBot="1" x14ac:dyDescent="0.35">
      <c r="B15" s="493" t="s">
        <v>123</v>
      </c>
      <c r="C15" s="494"/>
      <c r="D15" s="494"/>
      <c r="E15" s="494"/>
      <c r="F15" s="494"/>
      <c r="G15" s="494"/>
      <c r="H15" s="494"/>
      <c r="I15" s="494"/>
      <c r="J15" s="495"/>
      <c r="K15" s="14"/>
      <c r="L15" s="478"/>
    </row>
    <row r="16" spans="2:12" ht="52" customHeight="1" x14ac:dyDescent="0.3">
      <c r="B16" s="18" t="s">
        <v>125</v>
      </c>
      <c r="C16" s="501" t="s">
        <v>226</v>
      </c>
      <c r="D16" s="502"/>
      <c r="E16" s="502"/>
      <c r="F16" s="502"/>
      <c r="G16" s="502"/>
      <c r="H16" s="502"/>
      <c r="I16" s="502"/>
      <c r="J16" s="503"/>
      <c r="K16" s="12"/>
      <c r="L16" s="478"/>
    </row>
    <row r="17" spans="2:12" ht="144.65" customHeight="1" x14ac:dyDescent="0.3">
      <c r="B17" s="19" t="s">
        <v>67</v>
      </c>
      <c r="C17" s="504" t="s">
        <v>182</v>
      </c>
      <c r="D17" s="509"/>
      <c r="E17" s="509"/>
      <c r="F17" s="509"/>
      <c r="G17" s="509"/>
      <c r="H17" s="509"/>
      <c r="I17" s="509"/>
      <c r="J17" s="510"/>
      <c r="K17" s="12"/>
      <c r="L17" s="478"/>
    </row>
    <row r="18" spans="2:12" ht="51" customHeight="1" thickBot="1" x14ac:dyDescent="0.35">
      <c r="B18" s="20" t="s">
        <v>126</v>
      </c>
      <c r="C18" s="496" t="s">
        <v>194</v>
      </c>
      <c r="D18" s="497"/>
      <c r="E18" s="497"/>
      <c r="F18" s="497"/>
      <c r="G18" s="497"/>
      <c r="H18" s="497"/>
      <c r="I18" s="497"/>
      <c r="J18" s="498"/>
      <c r="K18" s="12"/>
      <c r="L18" s="479"/>
    </row>
    <row r="19" spans="2:12" ht="14.15" customHeight="1" x14ac:dyDescent="0.3"/>
    <row r="20" spans="2:12" ht="14.15" customHeight="1" x14ac:dyDescent="0.3"/>
    <row r="21" spans="2:12" ht="14.15" customHeight="1" x14ac:dyDescent="0.3"/>
    <row r="22" spans="2:12" ht="14.15" customHeight="1" x14ac:dyDescent="0.3">
      <c r="D22" s="17"/>
    </row>
    <row r="23" spans="2:12" ht="14.15" customHeight="1" x14ac:dyDescent="0.3"/>
    <row r="24" spans="2:12" ht="14.15" customHeight="1" x14ac:dyDescent="0.3"/>
    <row r="25" spans="2:12" ht="14.15" customHeight="1" x14ac:dyDescent="0.3"/>
    <row r="26" spans="2:12" ht="14.15" customHeight="1" x14ac:dyDescent="0.3"/>
    <row r="27" spans="2:12" ht="14.15" customHeight="1" x14ac:dyDescent="0.3"/>
    <row r="28" spans="2:12" ht="14.15" customHeight="1" x14ac:dyDescent="0.3"/>
    <row r="29" spans="2:12" ht="14.15" customHeight="1" x14ac:dyDescent="0.3"/>
    <row r="30" spans="2:12" ht="14.15" customHeight="1" x14ac:dyDescent="0.3"/>
    <row r="31" spans="2:12" ht="14.15" customHeight="1" x14ac:dyDescent="0.3"/>
    <row r="32" spans="2:12"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row r="41" ht="14.15" customHeight="1" x14ac:dyDescent="0.3"/>
    <row r="42" ht="14.15" customHeight="1" x14ac:dyDescent="0.3"/>
    <row r="43" ht="14.15" customHeight="1" x14ac:dyDescent="0.3"/>
    <row r="44" ht="14.15" customHeight="1" x14ac:dyDescent="0.3"/>
    <row r="45" ht="14.15" customHeight="1" x14ac:dyDescent="0.3"/>
    <row r="46" ht="14.15" customHeight="1" x14ac:dyDescent="0.3"/>
    <row r="47" ht="14.15" customHeight="1" x14ac:dyDescent="0.3"/>
    <row r="48" ht="14.15" customHeight="1" x14ac:dyDescent="0.3"/>
    <row r="49" ht="14.15" customHeight="1" x14ac:dyDescent="0.3"/>
    <row r="50" ht="14.15" customHeight="1" x14ac:dyDescent="0.3"/>
    <row r="51" ht="14.15" customHeight="1" x14ac:dyDescent="0.3"/>
    <row r="52" ht="14.15" customHeight="1" x14ac:dyDescent="0.3"/>
    <row r="53" ht="14.15" customHeight="1" x14ac:dyDescent="0.3"/>
    <row r="54" ht="14.15" customHeight="1" x14ac:dyDescent="0.3"/>
    <row r="55" ht="14.15" customHeight="1" x14ac:dyDescent="0.3"/>
    <row r="56" ht="14.15" customHeight="1" x14ac:dyDescent="0.3"/>
    <row r="57" ht="14.15" customHeight="1" x14ac:dyDescent="0.3"/>
    <row r="58" ht="14.15" customHeight="1" x14ac:dyDescent="0.3"/>
    <row r="59" ht="14.15" customHeight="1" x14ac:dyDescent="0.3"/>
    <row r="60" ht="14.15" customHeight="1" x14ac:dyDescent="0.3"/>
    <row r="61" ht="14.15" customHeight="1" x14ac:dyDescent="0.3"/>
    <row r="62" ht="14.15" customHeight="1" x14ac:dyDescent="0.3"/>
    <row r="63" ht="14.15" customHeight="1" x14ac:dyDescent="0.3"/>
    <row r="64" ht="14.15" customHeight="1" x14ac:dyDescent="0.3"/>
    <row r="65" ht="14.15" customHeight="1" x14ac:dyDescent="0.3"/>
    <row r="66" ht="14.15" customHeight="1" x14ac:dyDescent="0.3"/>
    <row r="67" ht="14.15" customHeight="1" x14ac:dyDescent="0.3"/>
    <row r="68" ht="14.15" customHeight="1" x14ac:dyDescent="0.3"/>
    <row r="69" ht="14.15" customHeight="1" x14ac:dyDescent="0.3"/>
    <row r="70" ht="14.15" customHeight="1" x14ac:dyDescent="0.3"/>
    <row r="71" ht="14.15" customHeight="1" x14ac:dyDescent="0.3"/>
    <row r="72" ht="14.15" customHeight="1" x14ac:dyDescent="0.3"/>
    <row r="73" ht="14.15" customHeight="1" x14ac:dyDescent="0.3"/>
    <row r="74" ht="14.15" customHeight="1" x14ac:dyDescent="0.3"/>
    <row r="75" ht="14.15" customHeight="1" x14ac:dyDescent="0.3"/>
    <row r="76" ht="14.15" customHeight="1" x14ac:dyDescent="0.3"/>
    <row r="77" ht="14.15" customHeight="1" x14ac:dyDescent="0.3"/>
  </sheetData>
  <sheetProtection algorithmName="SHA-512" hashValue="gUrBrtITdFoce1ki9OuwuEmXyBgZ5yRm/Eok0RH80pdK60OmVp2DhfC9WjE6EuhiDqq30185K7KEf4/Q7ARHRw==" saltValue="BurBjCHzHGMCwpp/M+yuXQ==" spinCount="100000" sheet="1" selectLockedCells="1"/>
  <protectedRanges>
    <protectedRange password="CAA2" sqref="D8:D11" name="Summe"/>
  </protectedRanges>
  <customSheetViews>
    <customSheetView guid="{168849A9-FED9-4458-942F-290616B3A25C}" scale="85" showPageBreaks="1" showGridLines="0" fitToPage="1" printArea="1" topLeftCell="A13">
      <selection activeCell="C16" sqref="C16:I16"/>
      <pageMargins left="0.70866141732283472" right="0.70866141732283472" top="1.1811023622047245" bottom="0.78740157480314965" header="0.31496062992125984" footer="0.31496062992125984"/>
      <pageSetup paperSize="8" scale="83" fitToHeight="0" orientation="landscape" cellComments="atEnd" r:id="rId1"/>
      <headerFooter>
        <oddHeader>&amp;LKennzahlenraster KIP / IAS&amp;R&amp;G</oddHeader>
        <oddFooter>&amp;L&amp;A: Bildung&amp;R&amp;P</oddFooter>
      </headerFooter>
    </customSheetView>
  </customSheetViews>
  <mergeCells count="10">
    <mergeCell ref="B1:J1"/>
    <mergeCell ref="L7:L18"/>
    <mergeCell ref="B15:J15"/>
    <mergeCell ref="C18:J18"/>
    <mergeCell ref="C3:D3"/>
    <mergeCell ref="C4:D4"/>
    <mergeCell ref="C16:J16"/>
    <mergeCell ref="C17:J17"/>
    <mergeCell ref="B6:J6"/>
    <mergeCell ref="B8:B10"/>
  </mergeCells>
  <dataValidations count="3">
    <dataValidation type="whole" operator="greaterThanOrEqual" allowBlank="1" showErrorMessage="1" errorTitle="Fehler" error="Gültig sind nur positive, ganze Zahlen (0, 200, etc.). Kein Text" promptTitle="Ganze Zahlen" prompt="Nur ganzzahlige Werte (0, 1, 200 etc.)" sqref="E8:J10" xr:uid="{00000000-0002-0000-0600-000000000000}">
      <formula1>0</formula1>
    </dataValidation>
    <dataValidation type="date" allowBlank="1" showInputMessage="1" showErrorMessage="1" error="Veuillez saisir une date de saisie comprise entre le 01.01.2024 et le 31.12.2024." promptTitle="Date de la saisie" prompt="Veuillez saisir la date de la saisie des données" sqref="C4:D4" xr:uid="{00000000-0002-0000-0600-000001000000}">
      <formula1>45292</formula1>
      <formula2>45657</formula2>
    </dataValidation>
    <dataValidation allowBlank="1" sqref="D11:J11" xr:uid="{00000000-0002-0000-0600-000002000000}"/>
  </dataValidations>
  <pageMargins left="0.70866141732283472" right="0.70866141732283472" top="1.1811023622047245" bottom="0.78740157480314965" header="0.31496062992125984" footer="0.31496062992125984"/>
  <pageSetup paperSize="8" scale="83" fitToHeight="0" orientation="landscape" cellComments="atEnd" r:id="rId2"/>
  <headerFooter>
    <oddFooter>&amp;L&amp;A: Bildung&amp;R&amp;P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3" tint="0.59999389629810485"/>
    <pageSetUpPr fitToPage="1"/>
  </sheetPr>
  <dimension ref="B1:K34"/>
  <sheetViews>
    <sheetView showGridLines="0" zoomScale="70" zoomScaleNormal="70" workbookViewId="0">
      <selection activeCell="K7" sqref="K7:K16"/>
    </sheetView>
  </sheetViews>
  <sheetFormatPr baseColWidth="10" defaultColWidth="11" defaultRowHeight="14" x14ac:dyDescent="0.3"/>
  <cols>
    <col min="1" max="1" width="2.08203125" style="13" customWidth="1"/>
    <col min="2" max="2" width="39.25" style="13" customWidth="1"/>
    <col min="3" max="9" width="15.83203125" style="13" customWidth="1"/>
    <col min="10" max="10" width="2.58203125" style="13" customWidth="1"/>
    <col min="11" max="11" width="63.58203125" style="13" customWidth="1"/>
    <col min="12" max="12" width="2.08203125" style="13" customWidth="1"/>
    <col min="13" max="16384" width="11" style="13"/>
  </cols>
  <sheetData>
    <row r="1" spans="2:11" s="1" customFormat="1" ht="25" x14ac:dyDescent="0.5">
      <c r="B1" s="507" t="s">
        <v>242</v>
      </c>
      <c r="C1" s="507"/>
      <c r="D1" s="507"/>
      <c r="E1" s="507"/>
      <c r="F1" s="507"/>
      <c r="G1" s="507"/>
      <c r="H1" s="507"/>
      <c r="I1" s="507"/>
    </row>
    <row r="2" spans="2:11" s="1" customFormat="1" x14ac:dyDescent="0.3">
      <c r="B2" s="16"/>
      <c r="C2" s="16"/>
      <c r="D2" s="16"/>
      <c r="E2" s="16"/>
      <c r="F2" s="16"/>
      <c r="G2" s="16"/>
    </row>
    <row r="3" spans="2:11" s="1" customFormat="1" ht="28.5" customHeight="1" x14ac:dyDescent="0.3">
      <c r="B3" s="275" t="s">
        <v>42</v>
      </c>
      <c r="C3" s="508" t="str">
        <f>'Table des matières'!D4</f>
        <v>CH</v>
      </c>
      <c r="D3" s="508"/>
      <c r="E3" s="92"/>
      <c r="F3" s="92"/>
    </row>
    <row r="4" spans="2:11" s="1" customFormat="1" ht="28.5" customHeight="1" x14ac:dyDescent="0.3">
      <c r="B4" s="275" t="s">
        <v>63</v>
      </c>
      <c r="C4" s="472"/>
      <c r="D4" s="472"/>
      <c r="E4" s="92"/>
      <c r="F4" s="92"/>
      <c r="H4" s="93"/>
    </row>
    <row r="5" spans="2:11" ht="14.15" customHeight="1" thickBot="1" x14ac:dyDescent="0.35"/>
    <row r="6" spans="2:11" ht="45" customHeight="1" thickBot="1" x14ac:dyDescent="0.35">
      <c r="B6" s="511"/>
      <c r="C6" s="512"/>
      <c r="D6" s="512"/>
      <c r="E6" s="512"/>
      <c r="F6" s="512"/>
      <c r="G6" s="512"/>
      <c r="H6" s="512"/>
      <c r="I6" s="513"/>
      <c r="K6" s="66" t="s">
        <v>124</v>
      </c>
    </row>
    <row r="7" spans="2:11" s="16" customFormat="1" ht="45" customHeight="1" thickBot="1" x14ac:dyDescent="0.35">
      <c r="B7" s="154" t="s">
        <v>120</v>
      </c>
      <c r="C7" s="150" t="s">
        <v>0</v>
      </c>
      <c r="D7" s="151" t="s">
        <v>74</v>
      </c>
      <c r="E7" s="151" t="s">
        <v>75</v>
      </c>
      <c r="F7" s="151" t="s">
        <v>154</v>
      </c>
      <c r="G7" s="151" t="s">
        <v>76</v>
      </c>
      <c r="H7" s="152" t="s">
        <v>121</v>
      </c>
      <c r="I7" s="153" t="s">
        <v>122</v>
      </c>
      <c r="J7" s="119"/>
      <c r="K7" s="477"/>
    </row>
    <row r="8" spans="2:11" ht="60" customHeight="1" thickBot="1" x14ac:dyDescent="0.35">
      <c r="B8" s="272" t="s">
        <v>196</v>
      </c>
      <c r="C8" s="94">
        <f>SUM(D8:E8,G8)</f>
        <v>0</v>
      </c>
      <c r="D8" s="95"/>
      <c r="E8" s="96"/>
      <c r="F8" s="96"/>
      <c r="G8" s="96"/>
      <c r="H8" s="117"/>
      <c r="I8" s="97"/>
      <c r="K8" s="478"/>
    </row>
    <row r="9" spans="2:11" ht="43.5" customHeight="1" thickBot="1" x14ac:dyDescent="0.35">
      <c r="B9" s="236" t="s">
        <v>193</v>
      </c>
      <c r="C9" s="237">
        <f>SUM(D9:E9,G9)</f>
        <v>7404</v>
      </c>
      <c r="D9" s="235">
        <f>VLOOKUP($C$3,bestand_ias,3,FALSE)</f>
        <v>2995</v>
      </c>
      <c r="E9" s="232">
        <f>VLOOKUP($C$3,bestand_ias,4,FALSE)</f>
        <v>4409</v>
      </c>
      <c r="F9" s="232">
        <f>VLOOKUP($C$3,bestand_ias,5,FALSE)</f>
        <v>9461</v>
      </c>
      <c r="G9" s="232" t="s">
        <v>34</v>
      </c>
      <c r="H9" s="232">
        <f>VLOOKUP($C$3,bestand_ias,6,FALSE)</f>
        <v>1882</v>
      </c>
      <c r="I9" s="233">
        <f>VLOOKUP($C$3,bestand_ias,7,FALSE)</f>
        <v>5522</v>
      </c>
      <c r="K9" s="478"/>
    </row>
    <row r="10" spans="2:11" ht="14.15" customHeight="1" x14ac:dyDescent="0.3">
      <c r="B10" s="1" t="s">
        <v>223</v>
      </c>
      <c r="K10" s="478"/>
    </row>
    <row r="11" spans="2:11" ht="14.15" customHeight="1" x14ac:dyDescent="0.3">
      <c r="B11" s="324" t="s">
        <v>222</v>
      </c>
      <c r="K11" s="478"/>
    </row>
    <row r="12" spans="2:11" ht="14.15" customHeight="1" thickBot="1" x14ac:dyDescent="0.35">
      <c r="K12" s="478"/>
    </row>
    <row r="13" spans="2:11" ht="14.5" thickBot="1" x14ac:dyDescent="0.35">
      <c r="B13" s="493" t="s">
        <v>123</v>
      </c>
      <c r="C13" s="494"/>
      <c r="D13" s="494"/>
      <c r="E13" s="494"/>
      <c r="F13" s="494"/>
      <c r="G13" s="494"/>
      <c r="H13" s="494"/>
      <c r="I13" s="495"/>
      <c r="J13" s="14"/>
      <c r="K13" s="478"/>
    </row>
    <row r="14" spans="2:11" ht="37.5" customHeight="1" x14ac:dyDescent="0.3">
      <c r="B14" s="18" t="s">
        <v>125</v>
      </c>
      <c r="C14" s="515" t="s">
        <v>227</v>
      </c>
      <c r="D14" s="515"/>
      <c r="E14" s="515"/>
      <c r="F14" s="515"/>
      <c r="G14" s="515"/>
      <c r="H14" s="515"/>
      <c r="I14" s="516"/>
      <c r="J14" s="12"/>
      <c r="K14" s="478"/>
    </row>
    <row r="15" spans="2:11" ht="121.5" customHeight="1" x14ac:dyDescent="0.3">
      <c r="B15" s="19" t="s">
        <v>67</v>
      </c>
      <c r="C15" s="517" t="s">
        <v>165</v>
      </c>
      <c r="D15" s="517"/>
      <c r="E15" s="517"/>
      <c r="F15" s="517"/>
      <c r="G15" s="517"/>
      <c r="H15" s="517"/>
      <c r="I15" s="518"/>
      <c r="J15" s="12"/>
      <c r="K15" s="478"/>
    </row>
    <row r="16" spans="2:11" ht="67" customHeight="1" thickBot="1" x14ac:dyDescent="0.35">
      <c r="B16" s="20" t="s">
        <v>126</v>
      </c>
      <c r="C16" s="519" t="s">
        <v>194</v>
      </c>
      <c r="D16" s="519"/>
      <c r="E16" s="519"/>
      <c r="F16" s="519"/>
      <c r="G16" s="519"/>
      <c r="H16" s="519"/>
      <c r="I16" s="520"/>
      <c r="J16" s="12"/>
      <c r="K16" s="479"/>
    </row>
    <row r="17" spans="3:3" ht="14.15" customHeight="1" x14ac:dyDescent="0.3"/>
    <row r="18" spans="3:3" ht="14.15" customHeight="1" x14ac:dyDescent="0.3"/>
    <row r="19" spans="3:3" ht="14.15" customHeight="1" x14ac:dyDescent="0.3"/>
    <row r="20" spans="3:3" ht="14.15" customHeight="1" x14ac:dyDescent="0.3">
      <c r="C20" s="17"/>
    </row>
    <row r="21" spans="3:3" ht="14.15" customHeight="1" x14ac:dyDescent="0.3"/>
    <row r="22" spans="3:3" ht="14.15" customHeight="1" x14ac:dyDescent="0.3"/>
    <row r="23" spans="3:3" ht="14.15" customHeight="1" x14ac:dyDescent="0.3"/>
    <row r="24" spans="3:3" ht="14.15" customHeight="1" x14ac:dyDescent="0.3"/>
    <row r="25" spans="3:3" ht="14.15" customHeight="1" x14ac:dyDescent="0.3"/>
    <row r="26" spans="3:3" ht="14.15" customHeight="1" x14ac:dyDescent="0.3"/>
    <row r="27" spans="3:3" ht="14.15" customHeight="1" x14ac:dyDescent="0.3"/>
    <row r="28" spans="3:3" ht="14.15" customHeight="1" x14ac:dyDescent="0.3"/>
    <row r="29" spans="3:3" ht="14.15" customHeight="1" x14ac:dyDescent="0.3"/>
    <row r="30" spans="3:3" ht="14.15" customHeight="1" x14ac:dyDescent="0.3"/>
    <row r="31" spans="3:3" ht="14.15" customHeight="1" x14ac:dyDescent="0.3"/>
    <row r="32" spans="3:3" ht="14.15" customHeight="1" x14ac:dyDescent="0.3"/>
    <row r="33" ht="14.15" customHeight="1" x14ac:dyDescent="0.3"/>
    <row r="34" ht="14.15" customHeight="1" x14ac:dyDescent="0.3"/>
  </sheetData>
  <sheetProtection algorithmName="SHA-512" hashValue="me2LOvs6UHfHNysgDsOVCC9SbrjTuBDyMsaAxwuieLuled9+8MIFB40bFyGQYpYsrIBwJVn3CSpD9PkHg/heIQ==" saltValue="W1ykFGU6i3P2hD/YhIAtbA==" spinCount="100000" sheet="1" selectLockedCells="1"/>
  <protectedRanges>
    <protectedRange password="CAA2" sqref="C8:C9" name="Summe"/>
  </protectedRanges>
  <customSheetViews>
    <customSheetView guid="{168849A9-FED9-4458-942F-290616B3A25C}" scale="70" showPageBreaks="1" showGridLines="0" fitToPage="1" printArea="1">
      <selection activeCell="J7" sqref="J7:J15"/>
      <pageMargins left="0.70866141732283472" right="0.70866141732283472" top="1.1811023622047245" bottom="0.78740157480314965" header="0.31496062992125984" footer="0.31496062992125984"/>
      <pageSetup paperSize="8" scale="83" fitToHeight="0" orientation="landscape" cellComments="atEnd" r:id="rId1"/>
      <headerFooter>
        <oddHeader>&amp;LKennzahlenraster KIP / IAS&amp;R&amp;G</oddHeader>
        <oddFooter>&amp;L&amp;A: Alphabetisierung&amp;R&amp;P</oddFooter>
      </headerFooter>
    </customSheetView>
  </customSheetViews>
  <mergeCells count="9">
    <mergeCell ref="B1:I1"/>
    <mergeCell ref="C3:D3"/>
    <mergeCell ref="C4:D4"/>
    <mergeCell ref="B6:I6"/>
    <mergeCell ref="K7:K16"/>
    <mergeCell ref="B13:I13"/>
    <mergeCell ref="C14:I14"/>
    <mergeCell ref="C15:I15"/>
    <mergeCell ref="C16:I16"/>
  </mergeCells>
  <dataValidations count="3">
    <dataValidation type="whole" operator="greaterThanOrEqual" allowBlank="1" showErrorMessage="1" errorTitle="Fehler" error="Gültig sind nur positive, ganze Zahlen (0, 200, etc.). Kein Text" promptTitle="Ganze Zahlen" prompt="Nur ganzzahlige Werte (0, 1, 200 etc.)" sqref="D8:I8" xr:uid="{00000000-0002-0000-0700-000000000000}">
      <formula1>0</formula1>
    </dataValidation>
    <dataValidation type="date" allowBlank="1" showInputMessage="1" showErrorMessage="1" error="Veuillez saisir une date de saisie comprise entre le 01.01.2024 et le 31.12.2024." promptTitle="Date de la saisie" prompt="Veuillez saisir la date de la saisie des données" sqref="C4:D4" xr:uid="{00000000-0002-0000-0700-000001000000}">
      <formula1>45292</formula1>
      <formula2>45657</formula2>
    </dataValidation>
    <dataValidation allowBlank="1" sqref="C9:I9" xr:uid="{00000000-0002-0000-0700-000002000000}"/>
  </dataValidations>
  <pageMargins left="0.70866141732283472" right="0.70866141732283472" top="1.1811023622047245" bottom="0.78740157480314965" header="0.31496062992125984" footer="0.31496062992125984"/>
  <pageSetup paperSize="8" scale="87" fitToHeight="0" orientation="landscape" cellComments="atEnd" r:id="rId2"/>
  <headerFooter>
    <oddFooter>&amp;L&amp;A: Alphabetisierung&amp;R&amp;P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3" tint="0.59999389629810485"/>
    <pageSetUpPr fitToPage="1"/>
  </sheetPr>
  <dimension ref="B1:L40"/>
  <sheetViews>
    <sheetView showGridLines="0" zoomScale="70" zoomScaleNormal="70" workbookViewId="0">
      <selection activeCell="L7" sqref="L7:L18"/>
    </sheetView>
  </sheetViews>
  <sheetFormatPr baseColWidth="10" defaultColWidth="11" defaultRowHeight="14" x14ac:dyDescent="0.3"/>
  <cols>
    <col min="1" max="1" width="2.08203125" style="13" customWidth="1"/>
    <col min="2" max="2" width="40.08203125" style="13" customWidth="1"/>
    <col min="3" max="3" width="12.08203125" style="13" customWidth="1"/>
    <col min="4" max="10" width="15.83203125" style="13" customWidth="1"/>
    <col min="11" max="11" width="2.58203125" style="13" customWidth="1"/>
    <col min="12" max="12" width="63.58203125" style="13" customWidth="1"/>
    <col min="13" max="13" width="2.08203125" style="13" customWidth="1"/>
    <col min="14" max="16384" width="11" style="13"/>
  </cols>
  <sheetData>
    <row r="1" spans="2:12" s="1" customFormat="1" ht="25" x14ac:dyDescent="0.5">
      <c r="B1" s="507" t="s">
        <v>243</v>
      </c>
      <c r="C1" s="507"/>
      <c r="D1" s="507"/>
      <c r="E1" s="507"/>
      <c r="F1" s="507"/>
      <c r="G1" s="507"/>
      <c r="H1" s="507"/>
      <c r="I1" s="507"/>
      <c r="J1" s="507"/>
    </row>
    <row r="2" spans="2:12" s="1" customFormat="1" x14ac:dyDescent="0.3">
      <c r="B2" s="16"/>
      <c r="C2" s="16"/>
      <c r="D2" s="16"/>
      <c r="E2" s="16"/>
      <c r="F2" s="16"/>
      <c r="G2" s="16"/>
    </row>
    <row r="3" spans="2:12" s="1" customFormat="1" ht="28.5" customHeight="1" x14ac:dyDescent="0.3">
      <c r="B3" s="275" t="s">
        <v>42</v>
      </c>
      <c r="C3" s="508" t="str">
        <f>'Table des matières'!D4</f>
        <v>CH</v>
      </c>
      <c r="D3" s="508"/>
      <c r="E3" s="92"/>
      <c r="F3" s="92"/>
    </row>
    <row r="4" spans="2:12" s="1" customFormat="1" ht="28.5" customHeight="1" x14ac:dyDescent="0.3">
      <c r="B4" s="275" t="s">
        <v>63</v>
      </c>
      <c r="C4" s="472"/>
      <c r="D4" s="472"/>
      <c r="E4" s="92"/>
      <c r="F4" s="92"/>
      <c r="H4" s="93"/>
    </row>
    <row r="5" spans="2:12" ht="14.15" customHeight="1" thickBot="1" x14ac:dyDescent="0.35"/>
    <row r="6" spans="2:12" ht="45" customHeight="1" thickBot="1" x14ac:dyDescent="0.35">
      <c r="B6" s="511"/>
      <c r="C6" s="512"/>
      <c r="D6" s="512"/>
      <c r="E6" s="512"/>
      <c r="F6" s="512"/>
      <c r="G6" s="512"/>
      <c r="H6" s="512"/>
      <c r="I6" s="512"/>
      <c r="J6" s="513"/>
      <c r="L6" s="66" t="s">
        <v>124</v>
      </c>
    </row>
    <row r="7" spans="2:12" s="16" customFormat="1" ht="45" customHeight="1" thickBot="1" x14ac:dyDescent="0.35">
      <c r="B7" s="154" t="s">
        <v>120</v>
      </c>
      <c r="C7" s="149"/>
      <c r="D7" s="150" t="s">
        <v>0</v>
      </c>
      <c r="E7" s="151" t="s">
        <v>74</v>
      </c>
      <c r="F7" s="151" t="s">
        <v>75</v>
      </c>
      <c r="G7" s="151" t="s">
        <v>154</v>
      </c>
      <c r="H7" s="151" t="s">
        <v>76</v>
      </c>
      <c r="I7" s="152" t="s">
        <v>121</v>
      </c>
      <c r="J7" s="147" t="s">
        <v>122</v>
      </c>
      <c r="K7" s="119"/>
      <c r="L7" s="477"/>
    </row>
    <row r="8" spans="2:12" ht="60" customHeight="1" x14ac:dyDescent="0.3">
      <c r="B8" s="499" t="s">
        <v>232</v>
      </c>
      <c r="C8" s="22" t="s">
        <v>101</v>
      </c>
      <c r="D8" s="99">
        <f>SUM(E8:F8,H8)</f>
        <v>0</v>
      </c>
      <c r="E8" s="95"/>
      <c r="F8" s="95"/>
      <c r="G8" s="96"/>
      <c r="H8" s="96"/>
      <c r="I8" s="117"/>
      <c r="J8" s="97"/>
      <c r="L8" s="478"/>
    </row>
    <row r="9" spans="2:12" ht="60" customHeight="1" thickBot="1" x14ac:dyDescent="0.35">
      <c r="B9" s="500"/>
      <c r="C9" s="271" t="s">
        <v>102</v>
      </c>
      <c r="D9" s="165">
        <f>SUM(E9:F9,H9)</f>
        <v>0</v>
      </c>
      <c r="E9" s="105"/>
      <c r="F9" s="105"/>
      <c r="G9" s="106"/>
      <c r="H9" s="106"/>
      <c r="I9" s="106"/>
      <c r="J9" s="107"/>
      <c r="L9" s="478"/>
    </row>
    <row r="10" spans="2:12" ht="60" customHeight="1" thickBot="1" x14ac:dyDescent="0.35">
      <c r="B10" s="21"/>
      <c r="C10" s="276" t="s">
        <v>0</v>
      </c>
      <c r="D10" s="98">
        <f>SUM(E10:F10,H10)</f>
        <v>0</v>
      </c>
      <c r="E10" s="166">
        <f t="shared" ref="E10:J10" si="0">SUM(E8:E9)</f>
        <v>0</v>
      </c>
      <c r="F10" s="166">
        <f t="shared" si="0"/>
        <v>0</v>
      </c>
      <c r="G10" s="109">
        <f t="shared" si="0"/>
        <v>0</v>
      </c>
      <c r="H10" s="109">
        <f t="shared" si="0"/>
        <v>0</v>
      </c>
      <c r="I10" s="109">
        <f t="shared" si="0"/>
        <v>0</v>
      </c>
      <c r="J10" s="110">
        <f t="shared" si="0"/>
        <v>0</v>
      </c>
      <c r="L10" s="478"/>
    </row>
    <row r="11" spans="2:12" ht="43.5" customHeight="1" thickBot="1" x14ac:dyDescent="0.35">
      <c r="B11" s="234" t="s">
        <v>193</v>
      </c>
      <c r="C11" s="228"/>
      <c r="D11" s="238">
        <f>SUM(E11:F11,H11)</f>
        <v>7404</v>
      </c>
      <c r="E11" s="235">
        <f>VLOOKUP($C$3,bestand_ias,3,FALSE)</f>
        <v>2995</v>
      </c>
      <c r="F11" s="235">
        <f>VLOOKUP($C$3,bestand_ias,4,FALSE)</f>
        <v>4409</v>
      </c>
      <c r="G11" s="232">
        <f>VLOOKUP($C$3,bestand_ias,5,FALSE)</f>
        <v>9461</v>
      </c>
      <c r="H11" s="232" t="s">
        <v>34</v>
      </c>
      <c r="I11" s="232">
        <f>VLOOKUP($C$3,bestand_ias,6,FALSE)</f>
        <v>1882</v>
      </c>
      <c r="J11" s="233">
        <f>VLOOKUP($C$3,bestand_ias,7,FALSE)</f>
        <v>5522</v>
      </c>
      <c r="L11" s="478"/>
    </row>
    <row r="12" spans="2:12" ht="14" customHeight="1" x14ac:dyDescent="0.3">
      <c r="B12" s="1" t="s">
        <v>223</v>
      </c>
      <c r="L12" s="478"/>
    </row>
    <row r="13" spans="2:12" ht="14" customHeight="1" x14ac:dyDescent="0.3">
      <c r="B13" s="324" t="s">
        <v>222</v>
      </c>
      <c r="L13" s="478"/>
    </row>
    <row r="14" spans="2:12" ht="14.15" customHeight="1" thickBot="1" x14ac:dyDescent="0.35">
      <c r="L14" s="478"/>
    </row>
    <row r="15" spans="2:12" ht="45" customHeight="1" thickBot="1" x14ac:dyDescent="0.35">
      <c r="B15" s="493" t="s">
        <v>123</v>
      </c>
      <c r="C15" s="494"/>
      <c r="D15" s="494"/>
      <c r="E15" s="494"/>
      <c r="F15" s="494"/>
      <c r="G15" s="494"/>
      <c r="H15" s="494"/>
      <c r="I15" s="494"/>
      <c r="J15" s="495"/>
      <c r="K15" s="14"/>
      <c r="L15" s="478"/>
    </row>
    <row r="16" spans="2:12" ht="51" customHeight="1" x14ac:dyDescent="0.3">
      <c r="B16" s="18" t="s">
        <v>125</v>
      </c>
      <c r="C16" s="501" t="s">
        <v>228</v>
      </c>
      <c r="D16" s="502"/>
      <c r="E16" s="502"/>
      <c r="F16" s="502"/>
      <c r="G16" s="502"/>
      <c r="H16" s="502"/>
      <c r="I16" s="502"/>
      <c r="J16" s="503"/>
      <c r="K16" s="12"/>
      <c r="L16" s="478"/>
    </row>
    <row r="17" spans="2:12" ht="105.65" customHeight="1" x14ac:dyDescent="0.3">
      <c r="B17" s="19" t="s">
        <v>67</v>
      </c>
      <c r="C17" s="504" t="s">
        <v>164</v>
      </c>
      <c r="D17" s="509"/>
      <c r="E17" s="509"/>
      <c r="F17" s="509"/>
      <c r="G17" s="509"/>
      <c r="H17" s="509"/>
      <c r="I17" s="509"/>
      <c r="J17" s="510"/>
      <c r="K17" s="12"/>
      <c r="L17" s="478"/>
    </row>
    <row r="18" spans="2:12" ht="64" customHeight="1" thickBot="1" x14ac:dyDescent="0.35">
      <c r="B18" s="20" t="s">
        <v>126</v>
      </c>
      <c r="C18" s="496" t="s">
        <v>194</v>
      </c>
      <c r="D18" s="497"/>
      <c r="E18" s="497"/>
      <c r="F18" s="497"/>
      <c r="G18" s="497"/>
      <c r="H18" s="497"/>
      <c r="I18" s="497"/>
      <c r="J18" s="498"/>
      <c r="K18" s="12"/>
      <c r="L18" s="479"/>
    </row>
    <row r="19" spans="2:12" ht="14.15" customHeight="1" x14ac:dyDescent="0.3"/>
    <row r="20" spans="2:12" ht="14.15" customHeight="1" x14ac:dyDescent="0.3"/>
    <row r="21" spans="2:12" ht="14.15" customHeight="1" x14ac:dyDescent="0.3"/>
    <row r="22" spans="2:12" ht="14.15" customHeight="1" x14ac:dyDescent="0.3">
      <c r="D22" s="17"/>
    </row>
    <row r="23" spans="2:12" ht="14.15" customHeight="1" x14ac:dyDescent="0.3"/>
    <row r="24" spans="2:12" ht="14.15" customHeight="1" x14ac:dyDescent="0.3"/>
    <row r="25" spans="2:12" ht="14.15" customHeight="1" x14ac:dyDescent="0.3"/>
    <row r="26" spans="2:12" ht="14.15" customHeight="1" x14ac:dyDescent="0.3"/>
    <row r="27" spans="2:12" ht="14.15" customHeight="1" x14ac:dyDescent="0.3"/>
    <row r="28" spans="2:12" ht="14.15" customHeight="1" x14ac:dyDescent="0.3"/>
    <row r="29" spans="2:12" ht="14.15" customHeight="1" x14ac:dyDescent="0.3"/>
    <row r="30" spans="2:12" ht="14.15" customHeight="1" x14ac:dyDescent="0.3"/>
    <row r="31" spans="2:12" ht="14.15" customHeight="1" x14ac:dyDescent="0.3"/>
    <row r="32" spans="2:12"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sheetData>
  <sheetProtection algorithmName="SHA-512" hashValue="aRIu+iWYANLr5Ubz+h8onqndep/m3S/5GxbmHwDMMHR9XPhUZwVIMn3TZiDj2xYdVlneZDDn0SBSJMMy6UWTHQ==" saltValue="ywNV26xM0eUCGcamTpuMFQ==" spinCount="100000" sheet="1" selectLockedCells="1"/>
  <protectedRanges>
    <protectedRange password="CAA2" sqref="D8:D11" name="Summe"/>
  </protectedRanges>
  <customSheetViews>
    <customSheetView guid="{168849A9-FED9-4458-942F-290616B3A25C}" scale="85" showPageBreaks="1" showGridLines="0" fitToPage="1" printArea="1" topLeftCell="A13">
      <selection activeCell="C15" sqref="C15:I15"/>
      <pageMargins left="0.70866141732283472" right="0.70866141732283472" top="1.1811023622047245" bottom="0.78740157480314965" header="0.31496062992125984" footer="0.31496062992125984"/>
      <pageSetup paperSize="8" scale="83" fitToHeight="0" orientation="landscape" cellComments="atEnd" r:id="rId1"/>
      <headerFooter>
        <oddHeader>&amp;LKennzahlenraster KIP / IAS&amp;R&amp;G</oddHeader>
        <oddFooter>&amp;L&amp;A: Potenzial&amp;R&amp;P</oddFooter>
      </headerFooter>
    </customSheetView>
  </customSheetViews>
  <mergeCells count="10">
    <mergeCell ref="C3:D3"/>
    <mergeCell ref="C4:D4"/>
    <mergeCell ref="C16:J16"/>
    <mergeCell ref="C17:J17"/>
    <mergeCell ref="B1:J1"/>
    <mergeCell ref="C18:J18"/>
    <mergeCell ref="B8:B9"/>
    <mergeCell ref="B6:J6"/>
    <mergeCell ref="L7:L18"/>
    <mergeCell ref="B15:J15"/>
  </mergeCells>
  <dataValidations count="3">
    <dataValidation type="whole" operator="greaterThanOrEqual" allowBlank="1" showErrorMessage="1" errorTitle="Fehler" error="Gültig sind nur positive, ganze Zahlen (0, 200, etc.). Kein Text" promptTitle="Ganze Zahlen" prompt="Nur ganzzahlige Werte (0, 1, 200 etc.)" sqref="E8:J10" xr:uid="{00000000-0002-0000-0800-000000000000}">
      <formula1>0</formula1>
    </dataValidation>
    <dataValidation type="date" allowBlank="1" showInputMessage="1" showErrorMessage="1" error="Veuillez saisir une date de saisie comprise entre le 01.01.2024 et le 31.12.2024." promptTitle="Date de la saisie" prompt="Veuillez saisir la date de la saisie des données" sqref="C4:D4" xr:uid="{00000000-0002-0000-0800-000001000000}">
      <formula1>45292</formula1>
      <formula2>45657</formula2>
    </dataValidation>
    <dataValidation allowBlank="1" sqref="D11:J11" xr:uid="{00000000-0002-0000-0800-000002000000}"/>
  </dataValidations>
  <pageMargins left="0.70866141732283472" right="0.70866141732283472" top="1.1811023622047245" bottom="0.78740157480314965" header="0.31496062992125984" footer="0.31496062992125984"/>
  <pageSetup paperSize="8" scale="83" fitToHeight="0" orientation="landscape" cellComments="atEnd" r:id="rId2"/>
  <headerFooter>
    <oddFooter>&amp;L&amp;A: Potenzial&amp;R&amp;P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3" tint="0.59999389629810485"/>
    <pageSetUpPr fitToPage="1"/>
  </sheetPr>
  <dimension ref="B1:K31"/>
  <sheetViews>
    <sheetView showGridLines="0" zoomScale="70" zoomScaleNormal="70" workbookViewId="0">
      <selection activeCell="H8" sqref="H8"/>
    </sheetView>
  </sheetViews>
  <sheetFormatPr baseColWidth="10" defaultColWidth="11" defaultRowHeight="14" x14ac:dyDescent="0.3"/>
  <cols>
    <col min="1" max="1" width="2.08203125" style="13" customWidth="1"/>
    <col min="2" max="2" width="40.83203125" style="13" customWidth="1"/>
    <col min="3" max="9" width="15.83203125" style="13" customWidth="1"/>
    <col min="10" max="10" width="2.58203125" style="13" customWidth="1"/>
    <col min="11" max="11" width="63.58203125" style="13" customWidth="1"/>
    <col min="12" max="12" width="2.08203125" style="13" customWidth="1"/>
    <col min="13" max="16384" width="11" style="13"/>
  </cols>
  <sheetData>
    <row r="1" spans="2:11" s="1" customFormat="1" ht="25" x14ac:dyDescent="0.5">
      <c r="B1" s="507" t="s">
        <v>244</v>
      </c>
      <c r="C1" s="507"/>
      <c r="D1" s="507"/>
      <c r="E1" s="507"/>
      <c r="F1" s="507"/>
      <c r="G1" s="507"/>
      <c r="H1" s="507"/>
      <c r="I1" s="507"/>
    </row>
    <row r="2" spans="2:11" s="1" customFormat="1" x14ac:dyDescent="0.3">
      <c r="B2" s="16"/>
      <c r="C2" s="16"/>
      <c r="D2" s="16"/>
      <c r="E2" s="16"/>
      <c r="F2" s="16"/>
      <c r="G2" s="16"/>
    </row>
    <row r="3" spans="2:11" s="1" customFormat="1" ht="28.5" customHeight="1" x14ac:dyDescent="0.3">
      <c r="B3" s="275" t="s">
        <v>42</v>
      </c>
      <c r="C3" s="508" t="str">
        <f>'Table des matières'!D4</f>
        <v>CH</v>
      </c>
      <c r="D3" s="508"/>
      <c r="E3" s="92"/>
      <c r="F3" s="92"/>
    </row>
    <row r="4" spans="2:11" s="1" customFormat="1" ht="28.5" customHeight="1" x14ac:dyDescent="0.3">
      <c r="B4" s="275" t="s">
        <v>63</v>
      </c>
      <c r="C4" s="472"/>
      <c r="D4" s="472"/>
      <c r="E4" s="92"/>
      <c r="F4" s="92"/>
      <c r="H4" s="93"/>
    </row>
    <row r="5" spans="2:11" ht="13" customHeight="1" thickBot="1" x14ac:dyDescent="0.35"/>
    <row r="6" spans="2:11" ht="45" customHeight="1" thickBot="1" x14ac:dyDescent="0.35">
      <c r="B6" s="511"/>
      <c r="C6" s="512"/>
      <c r="D6" s="512"/>
      <c r="E6" s="512"/>
      <c r="F6" s="512"/>
      <c r="G6" s="512"/>
      <c r="H6" s="512"/>
      <c r="I6" s="513"/>
      <c r="K6" s="66" t="s">
        <v>124</v>
      </c>
    </row>
    <row r="7" spans="2:11" s="16" customFormat="1" ht="45" customHeight="1" thickBot="1" x14ac:dyDescent="0.35">
      <c r="B7" s="154" t="s">
        <v>120</v>
      </c>
      <c r="C7" s="150" t="s">
        <v>0</v>
      </c>
      <c r="D7" s="151" t="s">
        <v>74</v>
      </c>
      <c r="E7" s="151" t="s">
        <v>75</v>
      </c>
      <c r="F7" s="151" t="s">
        <v>154</v>
      </c>
      <c r="G7" s="151" t="s">
        <v>76</v>
      </c>
      <c r="H7" s="152" t="s">
        <v>121</v>
      </c>
      <c r="I7" s="153" t="s">
        <v>122</v>
      </c>
      <c r="J7" s="119"/>
      <c r="K7" s="477"/>
    </row>
    <row r="8" spans="2:11" ht="60" customHeight="1" thickBot="1" x14ac:dyDescent="0.35">
      <c r="B8" s="272" t="s">
        <v>197</v>
      </c>
      <c r="C8" s="94">
        <f>SUM(D8:E8,G8)</f>
        <v>0</v>
      </c>
      <c r="D8" s="95"/>
      <c r="E8" s="96"/>
      <c r="F8" s="96"/>
      <c r="G8" s="96"/>
      <c r="H8" s="117"/>
      <c r="I8" s="97"/>
      <c r="K8" s="478"/>
    </row>
    <row r="9" spans="2:11" ht="43.5" customHeight="1" thickBot="1" x14ac:dyDescent="0.35">
      <c r="B9" s="239" t="s">
        <v>193</v>
      </c>
      <c r="C9" s="237">
        <f>SUM(D9:E9,G9)</f>
        <v>7404</v>
      </c>
      <c r="D9" s="235">
        <f>VLOOKUP($C$3,bestand_ias,3,FALSE)</f>
        <v>2995</v>
      </c>
      <c r="E9" s="232">
        <f>VLOOKUP($C$3,bestand_ias,4,FALSE)</f>
        <v>4409</v>
      </c>
      <c r="F9" s="232">
        <f>VLOOKUP($C$3,bestand_ias,5,FALSE)</f>
        <v>9461</v>
      </c>
      <c r="G9" s="232" t="s">
        <v>34</v>
      </c>
      <c r="H9" s="232">
        <f>VLOOKUP($C$3,bestand_ias,6,FALSE)</f>
        <v>1882</v>
      </c>
      <c r="I9" s="233">
        <f>VLOOKUP($C$3,bestand_ias,7,FALSE)</f>
        <v>5522</v>
      </c>
      <c r="K9" s="478"/>
    </row>
    <row r="10" spans="2:11" ht="14.15" customHeight="1" x14ac:dyDescent="0.3">
      <c r="B10" s="1" t="s">
        <v>223</v>
      </c>
      <c r="K10" s="478"/>
    </row>
    <row r="11" spans="2:11" ht="14.15" customHeight="1" x14ac:dyDescent="0.3">
      <c r="B11" s="324" t="s">
        <v>222</v>
      </c>
      <c r="K11" s="478"/>
    </row>
    <row r="12" spans="2:11" ht="14.15" customHeight="1" thickBot="1" x14ac:dyDescent="0.35">
      <c r="K12" s="478"/>
    </row>
    <row r="13" spans="2:11" ht="45" customHeight="1" thickBot="1" x14ac:dyDescent="0.35">
      <c r="B13" s="493" t="s">
        <v>123</v>
      </c>
      <c r="C13" s="494"/>
      <c r="D13" s="494"/>
      <c r="E13" s="494"/>
      <c r="F13" s="494"/>
      <c r="G13" s="494"/>
      <c r="H13" s="494"/>
      <c r="I13" s="495"/>
      <c r="J13" s="14"/>
      <c r="K13" s="478"/>
    </row>
    <row r="14" spans="2:11" ht="33" customHeight="1" x14ac:dyDescent="0.3">
      <c r="B14" s="18" t="s">
        <v>125</v>
      </c>
      <c r="C14" s="515" t="s">
        <v>131</v>
      </c>
      <c r="D14" s="515"/>
      <c r="E14" s="515"/>
      <c r="F14" s="515"/>
      <c r="G14" s="515"/>
      <c r="H14" s="515"/>
      <c r="I14" s="516"/>
      <c r="J14" s="12"/>
      <c r="K14" s="478"/>
    </row>
    <row r="15" spans="2:11" ht="43.5" customHeight="1" x14ac:dyDescent="0.3">
      <c r="B15" s="19" t="s">
        <v>67</v>
      </c>
      <c r="C15" s="517" t="s">
        <v>163</v>
      </c>
      <c r="D15" s="517"/>
      <c r="E15" s="517"/>
      <c r="F15" s="517"/>
      <c r="G15" s="517"/>
      <c r="H15" s="517"/>
      <c r="I15" s="518"/>
      <c r="J15" s="12"/>
      <c r="K15" s="478"/>
    </row>
    <row r="16" spans="2:11" ht="73" customHeight="1" thickBot="1" x14ac:dyDescent="0.35">
      <c r="B16" s="20" t="s">
        <v>126</v>
      </c>
      <c r="C16" s="519" t="s">
        <v>194</v>
      </c>
      <c r="D16" s="519"/>
      <c r="E16" s="519"/>
      <c r="F16" s="519"/>
      <c r="G16" s="519"/>
      <c r="H16" s="519"/>
      <c r="I16" s="520"/>
      <c r="J16" s="12"/>
      <c r="K16" s="479"/>
    </row>
    <row r="17" spans="3:3" ht="14.15" customHeight="1" x14ac:dyDescent="0.3"/>
    <row r="18" spans="3:3" ht="14.15" customHeight="1" x14ac:dyDescent="0.3"/>
    <row r="19" spans="3:3" ht="14.15" customHeight="1" x14ac:dyDescent="0.3"/>
    <row r="20" spans="3:3" ht="14.15" customHeight="1" x14ac:dyDescent="0.3">
      <c r="C20" s="17"/>
    </row>
    <row r="21" spans="3:3" ht="14.15" customHeight="1" x14ac:dyDescent="0.3"/>
    <row r="22" spans="3:3" ht="14.15" customHeight="1" x14ac:dyDescent="0.3"/>
    <row r="23" spans="3:3" ht="14.15" customHeight="1" x14ac:dyDescent="0.3"/>
    <row r="24" spans="3:3" ht="14.15" customHeight="1" x14ac:dyDescent="0.3"/>
    <row r="25" spans="3:3" ht="14.15" customHeight="1" x14ac:dyDescent="0.3"/>
    <row r="26" spans="3:3" ht="14.15" customHeight="1" x14ac:dyDescent="0.3"/>
    <row r="27" spans="3:3" ht="14.15" customHeight="1" x14ac:dyDescent="0.3"/>
    <row r="28" spans="3:3" ht="14.15" customHeight="1" x14ac:dyDescent="0.3"/>
    <row r="29" spans="3:3" ht="14.15" customHeight="1" x14ac:dyDescent="0.3"/>
    <row r="30" spans="3:3" ht="14.15" customHeight="1" x14ac:dyDescent="0.3"/>
    <row r="31" spans="3:3" ht="14.15" customHeight="1" x14ac:dyDescent="0.3"/>
  </sheetData>
  <sheetProtection algorithmName="SHA-512" hashValue="G3GOptTs6eLF8TNoYep2bokgIYb65MWj64Ly02mAw81Fe2cefPDbXcfeeLf6waDAF0vBs1+Cf46ZBbvNPsGReQ==" saltValue="uxD4uhVjrHVBuRhZqhzkXw==" spinCount="100000" sheet="1" selectLockedCells="1"/>
  <protectedRanges>
    <protectedRange password="CAA2" sqref="C8:C9" name="Summe"/>
  </protectedRanges>
  <customSheetViews>
    <customSheetView guid="{168849A9-FED9-4458-942F-290616B3A25C}" scale="85" showPageBreaks="1" showGridLines="0" fitToPage="1" printArea="1" topLeftCell="A7">
      <selection activeCell="B1" sqref="B1:H1"/>
      <pageMargins left="0.70866141732283472" right="0.70866141732283472" top="1.1811023622047245" bottom="0.78740157480314965" header="0.31496062992125984" footer="0.31496062992125984"/>
      <pageSetup paperSize="8" scale="87" fitToHeight="0" orientation="landscape" cellComments="atEnd" r:id="rId1"/>
      <headerFooter>
        <oddHeader>&amp;LKennzahlenraster KIP / IAS&amp;R&amp;G</oddHeader>
        <oddFooter>&amp;L&amp;A: Eröffnete Dossiers&amp;R&amp;P</oddFooter>
      </headerFooter>
    </customSheetView>
  </customSheetViews>
  <mergeCells count="9">
    <mergeCell ref="B1:I1"/>
    <mergeCell ref="C3:D3"/>
    <mergeCell ref="C4:D4"/>
    <mergeCell ref="B6:I6"/>
    <mergeCell ref="K7:K16"/>
    <mergeCell ref="B13:I13"/>
    <mergeCell ref="C14:I14"/>
    <mergeCell ref="C15:I15"/>
    <mergeCell ref="C16:I16"/>
  </mergeCells>
  <dataValidations count="3">
    <dataValidation type="whole" operator="greaterThanOrEqual" allowBlank="1" showErrorMessage="1" errorTitle="Fehler" error="Gültig sind nur positive, ganze Zahlen (0, 200, etc.). Kein Text" promptTitle="Ganze Zahlen" prompt="Nur ganzzahlige Werte (0, 1, 200 etc.)" sqref="D8:I8" xr:uid="{00000000-0002-0000-0900-000000000000}">
      <formula1>0</formula1>
    </dataValidation>
    <dataValidation type="date" allowBlank="1" showInputMessage="1" showErrorMessage="1" error="Veuillez saisir une date de saisie comprise entre le 01.01.2024 et le 31.12.2024." promptTitle="Date de la saisie" prompt="Veuillez saisir la date de la saisie des données" sqref="C4:D4" xr:uid="{00000000-0002-0000-0900-000001000000}">
      <formula1>45292</formula1>
      <formula2>45657</formula2>
    </dataValidation>
    <dataValidation allowBlank="1" sqref="C9:I9" xr:uid="{00000000-0002-0000-0900-000002000000}"/>
  </dataValidations>
  <pageMargins left="0.70866141732283472" right="0.70866141732283472" top="1.1811023622047245" bottom="0.78740157480314965" header="0.31496062992125984" footer="0.31496062992125984"/>
  <pageSetup paperSize="8" scale="87" fitToHeight="0" orientation="landscape" cellComments="atEnd" r:id="rId2"/>
  <headerFooter>
    <oddFooter>&amp;L&amp;A: Eröffnete Dossiers&amp;R&amp;P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3" tint="0.59999389629810485"/>
    <pageSetUpPr fitToPage="1"/>
  </sheetPr>
  <dimension ref="B1:P21"/>
  <sheetViews>
    <sheetView showGridLines="0" zoomScale="70" zoomScaleNormal="70" workbookViewId="0">
      <selection activeCell="D8" sqref="D8"/>
    </sheetView>
  </sheetViews>
  <sheetFormatPr baseColWidth="10" defaultColWidth="11" defaultRowHeight="14" x14ac:dyDescent="0.3"/>
  <cols>
    <col min="1" max="1" width="2.08203125" style="13" customWidth="1"/>
    <col min="2" max="2" width="40.58203125" style="13" customWidth="1"/>
    <col min="3" max="11" width="15.83203125" style="13" customWidth="1"/>
    <col min="12" max="12" width="2.08203125" style="13" customWidth="1"/>
    <col min="13" max="13" width="63.58203125" style="13" customWidth="1"/>
    <col min="14" max="14" width="2.08203125" style="13" customWidth="1"/>
    <col min="15" max="16384" width="11" style="13"/>
  </cols>
  <sheetData>
    <row r="1" spans="2:16" s="1" customFormat="1" ht="23" x14ac:dyDescent="0.5">
      <c r="B1" s="521" t="s">
        <v>245</v>
      </c>
      <c r="C1" s="521"/>
      <c r="D1" s="521"/>
      <c r="E1" s="521"/>
      <c r="F1" s="521"/>
      <c r="G1" s="521"/>
      <c r="H1" s="521"/>
      <c r="I1" s="521"/>
      <c r="J1" s="521"/>
      <c r="K1" s="521"/>
    </row>
    <row r="2" spans="2:16" s="1" customFormat="1" x14ac:dyDescent="0.3">
      <c r="B2" s="16"/>
      <c r="C2" s="16"/>
      <c r="D2" s="16"/>
      <c r="E2" s="16"/>
      <c r="F2" s="16"/>
      <c r="G2" s="16"/>
    </row>
    <row r="3" spans="2:16" s="1" customFormat="1" ht="28.5" customHeight="1" x14ac:dyDescent="0.3">
      <c r="B3" s="275" t="s">
        <v>42</v>
      </c>
      <c r="C3" s="508" t="str">
        <f>'Table des matières'!D4</f>
        <v>CH</v>
      </c>
      <c r="D3" s="508"/>
      <c r="E3" s="92"/>
      <c r="F3" s="92"/>
      <c r="O3" s="253" t="s">
        <v>33</v>
      </c>
      <c r="P3" s="253"/>
    </row>
    <row r="4" spans="2:16" s="1" customFormat="1" ht="28.5" customHeight="1" x14ac:dyDescent="0.3">
      <c r="B4" s="275" t="s">
        <v>63</v>
      </c>
      <c r="C4" s="472"/>
      <c r="D4" s="472"/>
      <c r="E4" s="92"/>
      <c r="F4" s="92"/>
      <c r="H4" s="93"/>
      <c r="O4" s="253" t="s">
        <v>40</v>
      </c>
      <c r="P4" s="253"/>
    </row>
    <row r="5" spans="2:16" ht="14.15" customHeight="1" thickBot="1" x14ac:dyDescent="0.35">
      <c r="O5" s="253" t="s">
        <v>39</v>
      </c>
      <c r="P5" s="253"/>
    </row>
    <row r="6" spans="2:16" ht="45" customHeight="1" thickBot="1" x14ac:dyDescent="0.35">
      <c r="B6" s="511"/>
      <c r="C6" s="512"/>
      <c r="D6" s="512"/>
      <c r="E6" s="512"/>
      <c r="F6" s="512"/>
      <c r="G6" s="512"/>
      <c r="H6" s="512"/>
      <c r="I6" s="513"/>
      <c r="J6" s="458" t="s">
        <v>132</v>
      </c>
      <c r="K6" s="459"/>
      <c r="M6" s="66" t="s">
        <v>124</v>
      </c>
      <c r="O6" s="253"/>
      <c r="P6" s="253"/>
    </row>
    <row r="7" spans="2:16" s="16" customFormat="1" ht="45" customHeight="1" thickBot="1" x14ac:dyDescent="0.35">
      <c r="B7" s="164" t="s">
        <v>120</v>
      </c>
      <c r="C7" s="144" t="s">
        <v>0</v>
      </c>
      <c r="D7" s="145" t="s">
        <v>74</v>
      </c>
      <c r="E7" s="145" t="s">
        <v>75</v>
      </c>
      <c r="F7" s="145" t="s">
        <v>154</v>
      </c>
      <c r="G7" s="145" t="s">
        <v>76</v>
      </c>
      <c r="H7" s="146" t="s">
        <v>121</v>
      </c>
      <c r="I7" s="147" t="s">
        <v>122</v>
      </c>
      <c r="J7" s="278" t="s">
        <v>81</v>
      </c>
      <c r="K7" s="279" t="s">
        <v>166</v>
      </c>
      <c r="M7" s="477"/>
    </row>
    <row r="8" spans="2:16" ht="60" customHeight="1" thickBot="1" x14ac:dyDescent="0.35">
      <c r="B8" s="138" t="s">
        <v>198</v>
      </c>
      <c r="C8" s="98">
        <f>SUM(D8:E8,G8)</f>
        <v>0</v>
      </c>
      <c r="D8" s="321"/>
      <c r="E8" s="322"/>
      <c r="F8" s="322"/>
      <c r="G8" s="322"/>
      <c r="H8" s="322"/>
      <c r="I8" s="323"/>
      <c r="J8" s="141" t="s">
        <v>33</v>
      </c>
      <c r="K8" s="143" t="s">
        <v>33</v>
      </c>
      <c r="M8" s="478"/>
    </row>
    <row r="9" spans="2:16" ht="43.5" customHeight="1" x14ac:dyDescent="0.3">
      <c r="B9" s="317" t="s">
        <v>199</v>
      </c>
      <c r="C9" s="226">
        <f>SUM(D9:E9,G9)</f>
        <v>22707</v>
      </c>
      <c r="D9" s="293">
        <f>VLOOKUP($C$3,bestand_ias,8,FALSE)</f>
        <v>12342</v>
      </c>
      <c r="E9" s="293">
        <f>VLOOKUP($C$3,bestand_ias,9,FALSE)</f>
        <v>10365</v>
      </c>
      <c r="F9" s="293">
        <f>VLOOKUP($C$3,bestand_ias,10,FALSE)</f>
        <v>46986</v>
      </c>
      <c r="G9" s="293" t="s">
        <v>35</v>
      </c>
      <c r="H9" s="293">
        <f>VLOOKUP($C$3,bestand_ias,11,FALSE)</f>
        <v>7941</v>
      </c>
      <c r="I9" s="294">
        <f>VLOOKUP($C$3,bestand_ias,12,FALSE)</f>
        <v>14766</v>
      </c>
      <c r="J9" s="248"/>
      <c r="K9" s="290"/>
      <c r="M9" s="478"/>
    </row>
    <row r="10" spans="2:16" ht="43.5" customHeight="1" thickBot="1" x14ac:dyDescent="0.35">
      <c r="B10" s="219" t="s">
        <v>234</v>
      </c>
      <c r="C10" s="220">
        <f>SUM(D10:E10,G10)</f>
        <v>26972</v>
      </c>
      <c r="D10" s="298">
        <f>VLOOKUP($C$3,bestand_alle,3,FALSE)</f>
        <v>15030</v>
      </c>
      <c r="E10" s="299">
        <f>VLOOKUP($C$3,bestand_alle,4,FALSE)</f>
        <v>11942</v>
      </c>
      <c r="F10" s="299">
        <f>VLOOKUP($C$3,bestand_alle,5,FALSE)</f>
        <v>46986</v>
      </c>
      <c r="G10" s="299" t="s">
        <v>35</v>
      </c>
      <c r="H10" s="299">
        <f>VLOOKUP($C$3,bestand_alle,6,FALSE)</f>
        <v>10445</v>
      </c>
      <c r="I10" s="300">
        <f>VLOOKUP($C$3,bestand_alle,7,FALSE)</f>
        <v>16527</v>
      </c>
      <c r="J10" s="249"/>
      <c r="K10" s="291"/>
      <c r="M10" s="478"/>
    </row>
    <row r="11" spans="2:16" x14ac:dyDescent="0.3">
      <c r="B11" s="1" t="s">
        <v>223</v>
      </c>
      <c r="M11" s="478"/>
    </row>
    <row r="12" spans="2:16" x14ac:dyDescent="0.3">
      <c r="B12" s="324" t="s">
        <v>222</v>
      </c>
      <c r="M12" s="478"/>
    </row>
    <row r="13" spans="2:16" ht="14.5" thickBot="1" x14ac:dyDescent="0.35">
      <c r="J13" s="12"/>
      <c r="K13" s="12"/>
      <c r="M13" s="478"/>
    </row>
    <row r="14" spans="2:16" ht="45" customHeight="1" thickBot="1" x14ac:dyDescent="0.35">
      <c r="B14" s="522" t="s">
        <v>123</v>
      </c>
      <c r="C14" s="523"/>
      <c r="D14" s="523"/>
      <c r="E14" s="523"/>
      <c r="F14" s="523"/>
      <c r="G14" s="523"/>
      <c r="H14" s="523"/>
      <c r="I14" s="523"/>
      <c r="J14" s="523"/>
      <c r="K14" s="524"/>
      <c r="M14" s="478"/>
    </row>
    <row r="15" spans="2:16" ht="37.5" customHeight="1" x14ac:dyDescent="0.3">
      <c r="B15" s="159" t="s">
        <v>125</v>
      </c>
      <c r="C15" s="525" t="s">
        <v>200</v>
      </c>
      <c r="D15" s="515"/>
      <c r="E15" s="515"/>
      <c r="F15" s="515"/>
      <c r="G15" s="515"/>
      <c r="H15" s="515"/>
      <c r="I15" s="515"/>
      <c r="J15" s="515"/>
      <c r="K15" s="516"/>
      <c r="M15" s="478"/>
    </row>
    <row r="16" spans="2:16" ht="107.5" customHeight="1" x14ac:dyDescent="0.3">
      <c r="B16" s="160" t="s">
        <v>67</v>
      </c>
      <c r="C16" s="526" t="s">
        <v>183</v>
      </c>
      <c r="D16" s="517"/>
      <c r="E16" s="517"/>
      <c r="F16" s="517"/>
      <c r="G16" s="517"/>
      <c r="H16" s="517"/>
      <c r="I16" s="517"/>
      <c r="J16" s="517"/>
      <c r="K16" s="518"/>
      <c r="M16" s="478"/>
    </row>
    <row r="17" spans="2:13" ht="50.5" customHeight="1" thickBot="1" x14ac:dyDescent="0.35">
      <c r="B17" s="161" t="s">
        <v>126</v>
      </c>
      <c r="C17" s="527" t="s">
        <v>201</v>
      </c>
      <c r="D17" s="528"/>
      <c r="E17" s="528"/>
      <c r="F17" s="528"/>
      <c r="G17" s="528"/>
      <c r="H17" s="528"/>
      <c r="I17" s="528"/>
      <c r="J17" s="528"/>
      <c r="K17" s="529"/>
      <c r="M17" s="479"/>
    </row>
    <row r="18" spans="2:13" ht="36.75" customHeight="1" x14ac:dyDescent="0.3"/>
    <row r="21" spans="2:13" x14ac:dyDescent="0.3">
      <c r="C21" s="17"/>
    </row>
  </sheetData>
  <sheetProtection algorithmName="SHA-512" hashValue="wINODRLF/EzCWSCrgIObFS1Ck9EXYZIZpKS1FXOefQlvLpm2kZTjNBGCD4vCDHfI+jZK5eXNzUcesmsaBIpFeQ==" saltValue="9bbhcSg52dqIhHn7t7qdJg==" spinCount="100000" sheet="1" selectLockedCells="1"/>
  <protectedRanges>
    <protectedRange password="CAA2" sqref="C8" name="Summe"/>
    <protectedRange password="CAA2" sqref="C9:C10" name="Summe_1"/>
  </protectedRanges>
  <customSheetViews>
    <customSheetView guid="{168849A9-FED9-4458-942F-290616B3A25C}" scale="85" showPageBreaks="1" showGridLines="0" fitToPage="1" printArea="1">
      <selection activeCell="N4" sqref="N4:N5"/>
      <pageMargins left="0.70866141732283472" right="0.70866141732283472" top="1.1811023622047245" bottom="0.78740157480314965" header="0.31496062992125984" footer="0.31496062992125984"/>
      <pageSetup paperSize="8" scale="71" fitToHeight="0" orientation="landscape" cellComments="atEnd" r:id="rId1"/>
      <headerFooter>
        <oddHeader>&amp;LKennzahlenraster KIP / IAS&amp;R&amp;G</oddHeader>
        <oddFooter>&amp;L&amp;A: Sprachförderung Erwachsene&amp;R&amp;P</oddFooter>
      </headerFooter>
    </customSheetView>
  </customSheetViews>
  <mergeCells count="10">
    <mergeCell ref="B1:K1"/>
    <mergeCell ref="M7:M17"/>
    <mergeCell ref="B6:I6"/>
    <mergeCell ref="J6:K6"/>
    <mergeCell ref="C3:D3"/>
    <mergeCell ref="C4:D4"/>
    <mergeCell ref="B14:K14"/>
    <mergeCell ref="C15:K15"/>
    <mergeCell ref="C16:K16"/>
    <mergeCell ref="C17:K17"/>
  </mergeCells>
  <dataValidations count="4">
    <dataValidation type="whole" operator="greaterThanOrEqual" allowBlank="1" showErrorMessage="1" errorTitle="Fehler" error="Gültig sind nur positive, ganze Zahlen (0, 200, etc.). Kein Text" promptTitle="Ganze Zahlen" prompt="Nur ganzzahlige Werte (0, 1, 200 etc.)" sqref="D8:I8" xr:uid="{00000000-0002-0000-0A00-000000000000}">
      <formula1>0</formula1>
    </dataValidation>
    <dataValidation type="date" allowBlank="1" showInputMessage="1" showErrorMessage="1" error="Veuillez saisir une date de saisie comprise entre le 01.01.2024 et le 31.12.2024." promptTitle="Date de la saisie" prompt="Veuillez saisir la date de la saisie des données" sqref="C4:D4" xr:uid="{00000000-0002-0000-0A00-000001000000}">
      <formula1>45292</formula1>
      <formula2>45657</formula2>
    </dataValidation>
    <dataValidation allowBlank="1" sqref="C9:I10" xr:uid="{7E013C6E-7B2A-42A0-B5B9-DB9D40439D3E}"/>
    <dataValidation type="list" allowBlank="1" showInputMessage="1" showErrorMessage="1" sqref="O4:O5 L8:L10" xr:uid="{00000000-0002-0000-0A00-000003000000}">
      <formula1>$O$4:$O$5</formula1>
    </dataValidation>
  </dataValidations>
  <pageMargins left="0.70866141732283472" right="0.70866141732283472" top="1.1811023622047245" bottom="0.78740157480314965" header="0.31496062992125984" footer="0.31496062992125984"/>
  <pageSetup paperSize="8" scale="63" fitToHeight="0" orientation="landscape" cellComments="atEnd" r:id="rId2"/>
  <headerFooter>
    <oddHeader>&amp;LKennzahlenraster KIP / IAS&amp;R&amp;G</oddHeader>
    <oddFooter>&amp;L&amp;A: Sprachförderung Erwachsene&amp;R&amp;P</oddFooter>
  </headerFooter>
  <legacyDrawingHF r:id="rId3"/>
  <extLst>
    <ext xmlns:x14="http://schemas.microsoft.com/office/spreadsheetml/2009/9/main" uri="{CCE6A557-97BC-4b89-ADB6-D9C93CAAB3DF}">
      <x14:dataValidations xmlns:xm="http://schemas.microsoft.com/office/excel/2006/main" count="2">
        <x14:dataValidation type="list" operator="greaterThanOrEqual" allowBlank="1" errorTitle="Fehler" error="Gültig sind nur positive, ganze Zahlen (0, 200, etc.). Kein Text" promptTitle="Ganze Zahlen" prompt="Nur ganzzahlige Werte (0, 1, 200 etc.)" xr:uid="{00000000-0002-0000-0A00-000005000000}">
          <x14:formula1>
            <xm:f>Dropdownlisten!$E$4:$E$6</xm:f>
          </x14:formula1>
          <xm:sqref>K8</xm:sqref>
        </x14:dataValidation>
        <x14:dataValidation type="list" operator="greaterThanOrEqual" allowBlank="1" xr:uid="{00000000-0002-0000-0A00-000006000000}">
          <x14:formula1>
            <xm:f>Dropdownlisten!$C$4:$C$6</xm:f>
          </x14:formula1>
          <xm:sqref>J8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3" tint="0.59999389629810485"/>
    <pageSetUpPr fitToPage="1"/>
  </sheetPr>
  <dimension ref="B1:R70"/>
  <sheetViews>
    <sheetView showGridLines="0" zoomScale="70" zoomScaleNormal="70" workbookViewId="0">
      <selection activeCell="O7" sqref="O7:O18"/>
    </sheetView>
  </sheetViews>
  <sheetFormatPr baseColWidth="10" defaultColWidth="11" defaultRowHeight="14" x14ac:dyDescent="0.3"/>
  <cols>
    <col min="1" max="1" width="2.08203125" style="13" customWidth="1"/>
    <col min="2" max="2" width="40.33203125" style="13" customWidth="1"/>
    <col min="3" max="7" width="15.83203125" style="13" customWidth="1"/>
    <col min="8" max="8" width="16.75" style="13" customWidth="1"/>
    <col min="9" max="9" width="12.1640625" style="13" customWidth="1"/>
    <col min="10" max="10" width="10.9140625" style="13" customWidth="1"/>
    <col min="11" max="13" width="13.58203125" style="13" customWidth="1"/>
    <col min="14" max="14" width="2.58203125" style="13" customWidth="1"/>
    <col min="15" max="15" width="63.58203125" style="13" customWidth="1"/>
    <col min="16" max="16" width="2.08203125" style="13" customWidth="1"/>
    <col min="17" max="16384" width="11" style="13"/>
  </cols>
  <sheetData>
    <row r="1" spans="2:18" s="1" customFormat="1" ht="28" x14ac:dyDescent="0.6">
      <c r="B1" s="492" t="s">
        <v>246</v>
      </c>
      <c r="C1" s="492"/>
      <c r="D1" s="492"/>
      <c r="E1" s="492"/>
      <c r="F1" s="492"/>
      <c r="G1" s="492"/>
      <c r="H1" s="492"/>
      <c r="I1" s="492"/>
      <c r="J1" s="492"/>
      <c r="K1" s="492"/>
      <c r="L1" s="492"/>
      <c r="M1" s="492"/>
    </row>
    <row r="2" spans="2:18" s="1" customFormat="1" x14ac:dyDescent="0.3">
      <c r="B2" s="16"/>
      <c r="C2" s="16"/>
      <c r="D2" s="16"/>
      <c r="E2" s="16"/>
      <c r="F2" s="16"/>
    </row>
    <row r="3" spans="2:18" s="1" customFormat="1" ht="28.5" customHeight="1" x14ac:dyDescent="0.3">
      <c r="B3" s="275" t="s">
        <v>42</v>
      </c>
      <c r="C3" s="508" t="str">
        <f>'Table des matières'!D4</f>
        <v>CH</v>
      </c>
      <c r="D3" s="508"/>
      <c r="E3" s="92"/>
    </row>
    <row r="4" spans="2:18" s="1" customFormat="1" ht="28.5" customHeight="1" x14ac:dyDescent="0.3">
      <c r="B4" s="275" t="s">
        <v>63</v>
      </c>
      <c r="C4" s="472"/>
      <c r="D4" s="472"/>
      <c r="E4" s="92"/>
      <c r="G4" s="93"/>
    </row>
    <row r="5" spans="2:18" ht="14.15" customHeight="1" thickBot="1" x14ac:dyDescent="0.35">
      <c r="O5" s="1"/>
    </row>
    <row r="6" spans="2:18" ht="45" customHeight="1" thickBot="1" x14ac:dyDescent="0.35">
      <c r="B6" s="511"/>
      <c r="C6" s="512"/>
      <c r="D6" s="512"/>
      <c r="E6" s="512"/>
      <c r="F6" s="512"/>
      <c r="G6" s="512"/>
      <c r="H6" s="513"/>
      <c r="I6" s="458" t="s">
        <v>132</v>
      </c>
      <c r="J6" s="537"/>
      <c r="K6" s="458" t="s">
        <v>142</v>
      </c>
      <c r="L6" s="537"/>
      <c r="M6" s="459"/>
      <c r="O6" s="66" t="s">
        <v>124</v>
      </c>
      <c r="P6" s="16"/>
      <c r="Q6" s="16"/>
      <c r="R6" s="16"/>
    </row>
    <row r="7" spans="2:18" s="16" customFormat="1" ht="66" customHeight="1" thickBot="1" x14ac:dyDescent="0.35">
      <c r="B7" s="164" t="s">
        <v>120</v>
      </c>
      <c r="C7" s="144" t="s">
        <v>0</v>
      </c>
      <c r="D7" s="145" t="s">
        <v>74</v>
      </c>
      <c r="E7" s="145" t="s">
        <v>75</v>
      </c>
      <c r="F7" s="145" t="s">
        <v>76</v>
      </c>
      <c r="G7" s="146" t="s">
        <v>121</v>
      </c>
      <c r="H7" s="147" t="s">
        <v>122</v>
      </c>
      <c r="I7" s="538" t="s">
        <v>166</v>
      </c>
      <c r="J7" s="539"/>
      <c r="K7" s="280" t="s">
        <v>137</v>
      </c>
      <c r="L7" s="281" t="s">
        <v>167</v>
      </c>
      <c r="M7" s="282" t="s">
        <v>138</v>
      </c>
      <c r="N7" s="13"/>
      <c r="O7" s="530"/>
    </row>
    <row r="8" spans="2:18" ht="60" customHeight="1" thickBot="1" x14ac:dyDescent="0.35">
      <c r="B8" s="499" t="s">
        <v>233</v>
      </c>
      <c r="C8" s="116">
        <f>SUM(D8:E8,F8)</f>
        <v>0</v>
      </c>
      <c r="D8" s="125"/>
      <c r="E8" s="117"/>
      <c r="F8" s="117"/>
      <c r="G8" s="117"/>
      <c r="H8" s="97"/>
      <c r="I8" s="540" t="s">
        <v>33</v>
      </c>
      <c r="J8" s="541"/>
      <c r="K8" s="141" t="s">
        <v>33</v>
      </c>
      <c r="L8" s="142" t="s">
        <v>33</v>
      </c>
      <c r="M8" s="127" t="s">
        <v>33</v>
      </c>
      <c r="O8" s="531"/>
      <c r="P8" s="16"/>
      <c r="Q8" s="16"/>
      <c r="R8" s="16"/>
    </row>
    <row r="9" spans="2:18" ht="30" customHeight="1" thickBot="1" x14ac:dyDescent="0.35">
      <c r="B9" s="500"/>
      <c r="C9" s="534"/>
      <c r="D9" s="535"/>
      <c r="E9" s="535"/>
      <c r="F9" s="535"/>
      <c r="G9" s="535"/>
      <c r="H9" s="536"/>
      <c r="I9" s="330"/>
      <c r="J9" s="331"/>
      <c r="K9" s="330"/>
      <c r="L9" s="334"/>
      <c r="M9" s="331"/>
      <c r="O9" s="531"/>
      <c r="P9" s="16"/>
      <c r="Q9" s="16"/>
      <c r="R9" s="16"/>
    </row>
    <row r="10" spans="2:18" ht="43.5" customHeight="1" thickBot="1" x14ac:dyDescent="0.35">
      <c r="B10" s="228" t="s">
        <v>199</v>
      </c>
      <c r="C10" s="229">
        <f>SUM(D10:E10,F10)</f>
        <v>2501</v>
      </c>
      <c r="D10" s="328">
        <f>VLOOKUP($C$3,bestand_ias,13,FALSE)</f>
        <v>1537</v>
      </c>
      <c r="E10" s="328">
        <f>VLOOKUP($C$3,bestand_ias,14,FALSE)</f>
        <v>964</v>
      </c>
      <c r="F10" s="328" t="s">
        <v>35</v>
      </c>
      <c r="G10" s="328">
        <f>VLOOKUP($C$3,bestand_ias,16,FALSE)</f>
        <v>1040</v>
      </c>
      <c r="H10" s="230">
        <f>VLOOKUP($C$3,bestand_ias,17,FALSE)</f>
        <v>1461</v>
      </c>
      <c r="I10" s="332"/>
      <c r="J10" s="333"/>
      <c r="K10" s="332"/>
      <c r="L10" s="335"/>
      <c r="M10" s="333"/>
      <c r="O10" s="531"/>
      <c r="P10" s="16"/>
      <c r="Q10" s="16"/>
      <c r="R10" s="16"/>
    </row>
    <row r="11" spans="2:18" ht="43.5" hidden="1" customHeight="1" thickBot="1" x14ac:dyDescent="0.35">
      <c r="B11" s="221" t="s">
        <v>185</v>
      </c>
      <c r="C11" s="222">
        <f>SUM(D11:E11,F11)</f>
        <v>0</v>
      </c>
      <c r="D11" s="295">
        <f>VLOOKUP($C$3,bestand_alle,8,FALSE)</f>
        <v>0</v>
      </c>
      <c r="E11" s="296">
        <f>VLOOKUP($C$3,bestand_alle,9,FALSE)</f>
        <v>0</v>
      </c>
      <c r="F11" s="296" t="s">
        <v>35</v>
      </c>
      <c r="G11" s="296">
        <f>VLOOKUP($C$3,bestand_alle,11,FALSE)</f>
        <v>0</v>
      </c>
      <c r="H11" s="297">
        <f>VLOOKUP($C$3,bestand_alle,12,FALSE)</f>
        <v>0</v>
      </c>
      <c r="I11" s="332"/>
      <c r="J11" s="333"/>
      <c r="K11" s="332"/>
      <c r="L11" s="335"/>
      <c r="M11" s="333"/>
      <c r="O11" s="531"/>
      <c r="P11" s="16"/>
      <c r="Q11" s="16"/>
      <c r="R11" s="16"/>
    </row>
    <row r="12" spans="2:18" ht="14.15" customHeight="1" x14ac:dyDescent="0.3">
      <c r="B12" s="1" t="s">
        <v>223</v>
      </c>
      <c r="C12" s="157"/>
      <c r="D12" s="157"/>
      <c r="E12" s="157"/>
      <c r="F12" s="157"/>
      <c r="G12" s="157"/>
      <c r="H12" s="157"/>
      <c r="I12" s="157"/>
      <c r="J12" s="157"/>
      <c r="K12" s="158"/>
      <c r="L12" s="158"/>
      <c r="M12" s="158"/>
      <c r="O12" s="531"/>
      <c r="P12" s="16"/>
      <c r="Q12" s="16"/>
      <c r="R12" s="16"/>
    </row>
    <row r="13" spans="2:18" ht="14.15" customHeight="1" x14ac:dyDescent="0.3">
      <c r="B13" s="324" t="s">
        <v>222</v>
      </c>
      <c r="C13" s="157"/>
      <c r="D13" s="157"/>
      <c r="E13" s="157"/>
      <c r="F13" s="157"/>
      <c r="G13" s="157"/>
      <c r="H13" s="157"/>
      <c r="I13" s="157"/>
      <c r="J13" s="157"/>
      <c r="K13" s="158"/>
      <c r="L13" s="158"/>
      <c r="M13" s="158"/>
      <c r="O13" s="531"/>
      <c r="P13" s="16"/>
      <c r="Q13" s="16"/>
      <c r="R13" s="16"/>
    </row>
    <row r="14" spans="2:18" ht="14.15" customHeight="1" thickBot="1" x14ac:dyDescent="0.35">
      <c r="B14" s="156"/>
      <c r="C14" s="156"/>
      <c r="D14" s="156"/>
      <c r="E14" s="156"/>
      <c r="F14" s="156"/>
      <c r="G14" s="156"/>
      <c r="H14" s="156"/>
      <c r="I14" s="156"/>
      <c r="J14" s="156"/>
      <c r="K14" s="156"/>
      <c r="L14" s="156"/>
      <c r="M14" s="156"/>
      <c r="O14" s="531"/>
      <c r="P14" s="16"/>
      <c r="Q14" s="16"/>
      <c r="R14" s="16"/>
    </row>
    <row r="15" spans="2:18" ht="45" customHeight="1" thickBot="1" x14ac:dyDescent="0.35">
      <c r="B15" s="522" t="s">
        <v>123</v>
      </c>
      <c r="C15" s="523"/>
      <c r="D15" s="523"/>
      <c r="E15" s="523"/>
      <c r="F15" s="523"/>
      <c r="G15" s="523"/>
      <c r="H15" s="523"/>
      <c r="I15" s="523"/>
      <c r="J15" s="523"/>
      <c r="K15" s="523"/>
      <c r="L15" s="523"/>
      <c r="M15" s="524"/>
      <c r="N15" s="14"/>
      <c r="O15" s="531"/>
      <c r="P15" s="16"/>
      <c r="Q15" s="16"/>
      <c r="R15" s="16"/>
    </row>
    <row r="16" spans="2:18" ht="56.5" customHeight="1" x14ac:dyDescent="0.3">
      <c r="B16" s="162" t="s">
        <v>125</v>
      </c>
      <c r="C16" s="525" t="s">
        <v>229</v>
      </c>
      <c r="D16" s="515"/>
      <c r="E16" s="515"/>
      <c r="F16" s="515"/>
      <c r="G16" s="515"/>
      <c r="H16" s="515"/>
      <c r="I16" s="515"/>
      <c r="J16" s="515"/>
      <c r="K16" s="515"/>
      <c r="L16" s="515"/>
      <c r="M16" s="516"/>
      <c r="N16" s="12"/>
      <c r="O16" s="531"/>
      <c r="P16" s="16"/>
      <c r="Q16" s="16"/>
      <c r="R16" s="16"/>
    </row>
    <row r="17" spans="2:18" ht="139" customHeight="1" x14ac:dyDescent="0.3">
      <c r="B17" s="160" t="s">
        <v>67</v>
      </c>
      <c r="C17" s="526" t="s">
        <v>184</v>
      </c>
      <c r="D17" s="517"/>
      <c r="E17" s="517"/>
      <c r="F17" s="517"/>
      <c r="G17" s="517"/>
      <c r="H17" s="517"/>
      <c r="I17" s="517"/>
      <c r="J17" s="517"/>
      <c r="K17" s="517"/>
      <c r="L17" s="517"/>
      <c r="M17" s="518"/>
      <c r="N17" s="12"/>
      <c r="O17" s="531"/>
      <c r="P17" s="16"/>
      <c r="Q17" s="16"/>
      <c r="R17" s="16"/>
    </row>
    <row r="18" spans="2:18" ht="65.150000000000006" customHeight="1" thickBot="1" x14ac:dyDescent="0.35">
      <c r="B18" s="161" t="s">
        <v>126</v>
      </c>
      <c r="C18" s="533" t="s">
        <v>235</v>
      </c>
      <c r="D18" s="519"/>
      <c r="E18" s="519"/>
      <c r="F18" s="519"/>
      <c r="G18" s="519"/>
      <c r="H18" s="519"/>
      <c r="I18" s="519"/>
      <c r="J18" s="519"/>
      <c r="K18" s="519"/>
      <c r="L18" s="519"/>
      <c r="M18" s="520"/>
      <c r="N18" s="12"/>
      <c r="O18" s="532"/>
      <c r="P18" s="16"/>
      <c r="Q18" s="16"/>
      <c r="R18" s="16"/>
    </row>
    <row r="19" spans="2:18" ht="14.15" customHeight="1" x14ac:dyDescent="0.3">
      <c r="O19" s="1"/>
      <c r="P19" s="16"/>
      <c r="Q19" s="16"/>
      <c r="R19" s="16"/>
    </row>
    <row r="20" spans="2:18" ht="14.15" customHeight="1" x14ac:dyDescent="0.3"/>
    <row r="21" spans="2:18" ht="14.15" customHeight="1" x14ac:dyDescent="0.3">
      <c r="H21" s="1"/>
    </row>
    <row r="22" spans="2:18" ht="14.15" customHeight="1" x14ac:dyDescent="0.3">
      <c r="C22" s="17"/>
    </row>
    <row r="23" spans="2:18" ht="14.15" customHeight="1" x14ac:dyDescent="0.3"/>
    <row r="24" spans="2:18" ht="14.15" customHeight="1" x14ac:dyDescent="0.3"/>
    <row r="25" spans="2:18" ht="14.15" customHeight="1" x14ac:dyDescent="0.3"/>
    <row r="26" spans="2:18" ht="14.15" customHeight="1" x14ac:dyDescent="0.3"/>
    <row r="27" spans="2:18" ht="14.15" customHeight="1" x14ac:dyDescent="0.3"/>
    <row r="28" spans="2:18" ht="14.15" customHeight="1" x14ac:dyDescent="0.3"/>
    <row r="29" spans="2:18" ht="14.15" customHeight="1" x14ac:dyDescent="0.3"/>
    <row r="30" spans="2:18" ht="14.15" customHeight="1" x14ac:dyDescent="0.3"/>
    <row r="31" spans="2:18" ht="14.15" customHeight="1" x14ac:dyDescent="0.3"/>
    <row r="32" spans="2:18"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row r="41" ht="14.15" customHeight="1" x14ac:dyDescent="0.3"/>
    <row r="42" ht="14.15" customHeight="1" x14ac:dyDescent="0.3"/>
    <row r="43" ht="14.15" customHeight="1" x14ac:dyDescent="0.3"/>
    <row r="44" ht="14.15" customHeight="1" x14ac:dyDescent="0.3"/>
    <row r="45" ht="14.15" customHeight="1" x14ac:dyDescent="0.3"/>
    <row r="46" ht="14.15" customHeight="1" x14ac:dyDescent="0.3"/>
    <row r="47" ht="14.15" customHeight="1" x14ac:dyDescent="0.3"/>
    <row r="48" ht="14.15" customHeight="1" x14ac:dyDescent="0.3"/>
    <row r="49" ht="14.15" customHeight="1" x14ac:dyDescent="0.3"/>
    <row r="50" ht="14.15" customHeight="1" x14ac:dyDescent="0.3"/>
    <row r="51" ht="14.15" customHeight="1" x14ac:dyDescent="0.3"/>
    <row r="52" ht="14.15" customHeight="1" x14ac:dyDescent="0.3"/>
    <row r="53" ht="14.15" customHeight="1" x14ac:dyDescent="0.3"/>
    <row r="54" ht="14.15" customHeight="1" x14ac:dyDescent="0.3"/>
    <row r="55" ht="14.15" customHeight="1" x14ac:dyDescent="0.3"/>
    <row r="56" ht="14.15" customHeight="1" x14ac:dyDescent="0.3"/>
    <row r="57" ht="14.15" customHeight="1" x14ac:dyDescent="0.3"/>
    <row r="58" ht="14.15" customHeight="1" x14ac:dyDescent="0.3"/>
    <row r="59" ht="14.15" customHeight="1" x14ac:dyDescent="0.3"/>
    <row r="60" ht="14.15" customHeight="1" x14ac:dyDescent="0.3"/>
    <row r="61" ht="14.15" customHeight="1" x14ac:dyDescent="0.3"/>
    <row r="62" ht="14.15" customHeight="1" x14ac:dyDescent="0.3"/>
    <row r="63" ht="14.15" customHeight="1" x14ac:dyDescent="0.3"/>
    <row r="64" ht="14.15" customHeight="1" x14ac:dyDescent="0.3"/>
    <row r="65" ht="14.15" customHeight="1" x14ac:dyDescent="0.3"/>
    <row r="66" ht="14.15" customHeight="1" x14ac:dyDescent="0.3"/>
    <row r="67" ht="14.15" customHeight="1" x14ac:dyDescent="0.3"/>
    <row r="68" ht="14.15" customHeight="1" x14ac:dyDescent="0.3"/>
    <row r="69" ht="14.15" customHeight="1" x14ac:dyDescent="0.3"/>
    <row r="70" ht="14.15" customHeight="1" x14ac:dyDescent="0.3"/>
  </sheetData>
  <sheetProtection algorithmName="SHA-512" hashValue="NTIyyAToXor3ajF2xJO2Lx6aqFnqA9YAlnMBX8xP6HOFxzLf1o3wB+zlv/GQreQw2NZOIso+7086zZnS1xBzmw==" saltValue="p882KgPqBufMWTqFzKpMwA==" spinCount="100000" sheet="1" selectLockedCells="1"/>
  <protectedRanges>
    <protectedRange password="CAA2" sqref="C12:C13 C8:C9" name="Summe"/>
    <protectedRange password="CAA2" sqref="C11" name="Summe_2"/>
    <protectedRange password="CAA2" sqref="C10" name="Summe_1_1"/>
  </protectedRanges>
  <customSheetViews>
    <customSheetView guid="{168849A9-FED9-4458-942F-290616B3A25C}" showPageBreaks="1" showGridLines="0" fitToPage="1" printArea="1" topLeftCell="A7">
      <selection activeCell="C17" sqref="C17:M17"/>
      <pageMargins left="0.70866141732283472" right="0.70866141732283472" top="1.1811023622047245" bottom="0.78740157480314965" header="0.31496062992125984" footer="0.31496062992125984"/>
      <pageSetup paperSize="8" scale="63" fitToHeight="0" orientation="landscape" cellComments="atEnd" r:id="rId1"/>
      <headerFooter>
        <oddHeader>&amp;LKennzahlenraster KIP / IAS&amp;R&amp;G</oddHeader>
        <oddFooter>&amp;L&amp;A: Sprachniveau Erwachsene&amp;R&amp;P</oddFooter>
      </headerFooter>
    </customSheetView>
  </customSheetViews>
  <mergeCells count="15">
    <mergeCell ref="O7:O18"/>
    <mergeCell ref="B15:M15"/>
    <mergeCell ref="C16:M16"/>
    <mergeCell ref="C17:M17"/>
    <mergeCell ref="B1:M1"/>
    <mergeCell ref="C3:D3"/>
    <mergeCell ref="C4:D4"/>
    <mergeCell ref="C18:M18"/>
    <mergeCell ref="C9:H9"/>
    <mergeCell ref="B6:H6"/>
    <mergeCell ref="I6:J6"/>
    <mergeCell ref="K6:M6"/>
    <mergeCell ref="B8:B9"/>
    <mergeCell ref="I7:J7"/>
    <mergeCell ref="I8:J8"/>
  </mergeCells>
  <dataValidations count="3">
    <dataValidation type="date" allowBlank="1" showInputMessage="1" showErrorMessage="1" error="Veuillez saisir une date de saisie comprise entre le 01.01.2024 et le 31.12.2024." promptTitle="Date de la saisie" prompt="Veuillez saisir la date de la saisie des données" sqref="C4:D4" xr:uid="{00000000-0002-0000-0B00-000001000000}">
      <formula1>45292</formula1>
      <formula2>45657</formula2>
    </dataValidation>
    <dataValidation allowBlank="1" sqref="C10:H11 I7" xr:uid="{00000000-0002-0000-0B00-000002000000}"/>
    <dataValidation type="whole" operator="greaterThanOrEqual" allowBlank="1" showErrorMessage="1" errorTitle="Fehler" error="Gültig sind nur positive, ganze Zahlen (0, 200, etc.). Kein Text" promptTitle="Ganze Zahlen" prompt="Nur ganzzahlige Werte (0, 1, 200 etc.)" sqref="D8:H8 D12:J13" xr:uid="{00000000-0002-0000-0B00-000000000000}">
      <formula1>0</formula1>
    </dataValidation>
  </dataValidations>
  <pageMargins left="0.70866141732283472" right="0.70866141732283472" top="1.1811023622047245" bottom="0.78740157480314965" header="0.31496062992125984" footer="0.31496062992125984"/>
  <pageSetup paperSize="8" scale="59" fitToHeight="0" orientation="landscape" cellComments="atEnd" r:id="rId2"/>
  <headerFooter>
    <oddFooter>&amp;L&amp;A: Sprachniveau Erwachsene&amp;R&amp;P</oddFooter>
  </headerFooter>
  <extLst>
    <ext xmlns:x14="http://schemas.microsoft.com/office/spreadsheetml/2009/9/main" uri="{CCE6A557-97BC-4b89-ADB6-D9C93CAAB3DF}">
      <x14:dataValidations xmlns:xm="http://schemas.microsoft.com/office/excel/2006/main" count="2">
        <x14:dataValidation type="list" allowBlank="1" xr:uid="{00000000-0002-0000-0B00-000004000000}">
          <x14:formula1>
            <xm:f>Dropdownlisten!$C$9:$C$11</xm:f>
          </x14:formula1>
          <xm:sqref>K8:M8</xm:sqref>
        </x14:dataValidation>
        <x14:dataValidation type="list" xr:uid="{00000000-0002-0000-0B00-000005000000}">
          <x14:formula1>
            <xm:f>Dropdownlisten!$C$4:$C$6</xm:f>
          </x14:formula1>
          <xm:sqref>I8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theme="3" tint="0.59999389629810485"/>
    <pageSetUpPr fitToPage="1"/>
  </sheetPr>
  <dimension ref="B1:M32"/>
  <sheetViews>
    <sheetView showGridLines="0" zoomScale="70" zoomScaleNormal="70" workbookViewId="0">
      <selection activeCell="M7" sqref="M7:M18"/>
    </sheetView>
  </sheetViews>
  <sheetFormatPr baseColWidth="10" defaultColWidth="11" defaultRowHeight="14" x14ac:dyDescent="0.3"/>
  <cols>
    <col min="1" max="1" width="2.08203125" style="13" customWidth="1"/>
    <col min="2" max="2" width="40.08203125" style="13" customWidth="1"/>
    <col min="3" max="9" width="15.83203125" style="13" customWidth="1"/>
    <col min="10" max="11" width="12.58203125" style="13" customWidth="1"/>
    <col min="12" max="12" width="2.5" style="13" customWidth="1"/>
    <col min="13" max="13" width="63.58203125" style="13" customWidth="1"/>
    <col min="14" max="14" width="2.08203125" style="13" customWidth="1"/>
    <col min="15" max="16384" width="11" style="13"/>
  </cols>
  <sheetData>
    <row r="1" spans="2:13" s="1" customFormat="1" ht="28" x14ac:dyDescent="0.6">
      <c r="B1" s="492" t="s">
        <v>247</v>
      </c>
      <c r="C1" s="492"/>
      <c r="D1" s="492"/>
      <c r="E1" s="492"/>
      <c r="F1" s="492"/>
      <c r="G1" s="492"/>
      <c r="H1" s="492"/>
      <c r="I1" s="492"/>
      <c r="J1" s="492"/>
      <c r="K1" s="492"/>
      <c r="L1" s="492"/>
      <c r="M1" s="492"/>
    </row>
    <row r="2" spans="2:13" s="1" customFormat="1" x14ac:dyDescent="0.3">
      <c r="B2" s="16"/>
      <c r="C2" s="16"/>
      <c r="D2" s="16"/>
      <c r="E2" s="16"/>
      <c r="F2" s="16"/>
      <c r="G2" s="16"/>
    </row>
    <row r="3" spans="2:13" s="1" customFormat="1" ht="28.5" customHeight="1" x14ac:dyDescent="0.3">
      <c r="B3" s="275" t="s">
        <v>42</v>
      </c>
      <c r="C3" s="508" t="str">
        <f>'Table des matières'!D4</f>
        <v>CH</v>
      </c>
      <c r="D3" s="508"/>
      <c r="E3" s="92"/>
      <c r="F3" s="92"/>
    </row>
    <row r="4" spans="2:13" s="1" customFormat="1" ht="28.5" customHeight="1" x14ac:dyDescent="0.3">
      <c r="B4" s="275" t="s">
        <v>63</v>
      </c>
      <c r="C4" s="472"/>
      <c r="D4" s="472"/>
      <c r="E4" s="92"/>
      <c r="F4" s="92"/>
      <c r="H4" s="93"/>
    </row>
    <row r="5" spans="2:13" ht="14.15" customHeight="1" thickBot="1" x14ac:dyDescent="0.35"/>
    <row r="6" spans="2:13" ht="45" customHeight="1" thickBot="1" x14ac:dyDescent="0.35">
      <c r="B6" s="511"/>
      <c r="C6" s="512"/>
      <c r="D6" s="512"/>
      <c r="E6" s="512"/>
      <c r="F6" s="512"/>
      <c r="G6" s="512"/>
      <c r="H6" s="512"/>
      <c r="I6" s="513"/>
      <c r="J6" s="458" t="s">
        <v>132</v>
      </c>
      <c r="K6" s="459"/>
      <c r="M6" s="66" t="s">
        <v>124</v>
      </c>
    </row>
    <row r="7" spans="2:13" s="16" customFormat="1" ht="45" customHeight="1" thickBot="1" x14ac:dyDescent="0.35">
      <c r="B7" s="154" t="s">
        <v>120</v>
      </c>
      <c r="C7" s="150" t="s">
        <v>0</v>
      </c>
      <c r="D7" s="151" t="s">
        <v>74</v>
      </c>
      <c r="E7" s="151" t="s">
        <v>75</v>
      </c>
      <c r="F7" s="151" t="s">
        <v>154</v>
      </c>
      <c r="G7" s="151" t="s">
        <v>76</v>
      </c>
      <c r="H7" s="152" t="s">
        <v>121</v>
      </c>
      <c r="I7" s="153" t="s">
        <v>122</v>
      </c>
      <c r="J7" s="538" t="s">
        <v>166</v>
      </c>
      <c r="K7" s="539"/>
      <c r="L7" s="13"/>
      <c r="M7" s="542"/>
    </row>
    <row r="8" spans="2:13" ht="60" customHeight="1" thickBot="1" x14ac:dyDescent="0.35">
      <c r="B8" s="499" t="s">
        <v>203</v>
      </c>
      <c r="C8" s="108">
        <f>SUM(D8:E8,G8)</f>
        <v>0</v>
      </c>
      <c r="D8" s="125"/>
      <c r="E8" s="117"/>
      <c r="F8" s="117"/>
      <c r="G8" s="117"/>
      <c r="H8" s="117"/>
      <c r="I8" s="118"/>
      <c r="J8" s="540" t="s">
        <v>33</v>
      </c>
      <c r="K8" s="541"/>
      <c r="M8" s="543"/>
    </row>
    <row r="9" spans="2:13" ht="30" customHeight="1" thickBot="1" x14ac:dyDescent="0.35">
      <c r="B9" s="514"/>
      <c r="C9" s="545"/>
      <c r="D9" s="546"/>
      <c r="E9" s="546"/>
      <c r="F9" s="546"/>
      <c r="G9" s="546"/>
      <c r="H9" s="546"/>
      <c r="I9" s="547"/>
      <c r="J9" s="336"/>
      <c r="K9" s="337"/>
      <c r="M9" s="543"/>
    </row>
    <row r="10" spans="2:13" ht="43.5" customHeight="1" thickBot="1" x14ac:dyDescent="0.35">
      <c r="B10" s="239" t="s">
        <v>199</v>
      </c>
      <c r="C10" s="229">
        <f>SUM(D10:E10,G10)</f>
        <v>7527</v>
      </c>
      <c r="D10" s="328">
        <f>VLOOKUP($C$3,bestand_ias,18,FALSE)</f>
        <v>5885</v>
      </c>
      <c r="E10" s="328">
        <f>VLOOKUP($C$3,bestand_ias,19,FALSE)</f>
        <v>1642</v>
      </c>
      <c r="F10" s="328">
        <f>VLOOKUP($C$3,bestand_ias,20,FALSE)</f>
        <v>2682</v>
      </c>
      <c r="G10" s="328" t="s">
        <v>35</v>
      </c>
      <c r="H10" s="328">
        <f>VLOOKUP($C$3,bestand_ias,21,FALSE)</f>
        <v>3673</v>
      </c>
      <c r="I10" s="230">
        <f>VLOOKUP($C$3,bestand_ias,22,FALSE)</f>
        <v>3854</v>
      </c>
      <c r="J10" s="338"/>
      <c r="K10" s="339"/>
      <c r="M10" s="543"/>
    </row>
    <row r="11" spans="2:13" ht="43.5" hidden="1" customHeight="1" thickBot="1" x14ac:dyDescent="0.35">
      <c r="B11" s="327" t="s">
        <v>204</v>
      </c>
      <c r="C11" s="222">
        <f>SUM(D11:E11,G11)</f>
        <v>0</v>
      </c>
      <c r="D11" s="295">
        <f>VLOOKUP($C$3,bestand_alle,13,FALSE)</f>
        <v>0</v>
      </c>
      <c r="E11" s="296">
        <f>VLOOKUP($C$3,bestand_alle,14,FALSE)</f>
        <v>0</v>
      </c>
      <c r="F11" s="296">
        <f>VLOOKUP($C$3,bestand_alle,15,FALSE)</f>
        <v>0</v>
      </c>
      <c r="G11" s="296" t="s">
        <v>35</v>
      </c>
      <c r="H11" s="296">
        <f>VLOOKUP($C$3,bestand_alle,16,FALSE)</f>
        <v>0</v>
      </c>
      <c r="I11" s="297">
        <f>VLOOKUP($C$3,bestand_alle,17,FALSE)</f>
        <v>0</v>
      </c>
      <c r="J11" s="338"/>
      <c r="K11" s="339"/>
      <c r="M11" s="543"/>
    </row>
    <row r="12" spans="2:13" ht="14.15" customHeight="1" x14ac:dyDescent="0.3">
      <c r="B12" s="1" t="s">
        <v>223</v>
      </c>
      <c r="M12" s="543"/>
    </row>
    <row r="13" spans="2:13" ht="14.15" customHeight="1" x14ac:dyDescent="0.3">
      <c r="B13" s="324" t="s">
        <v>222</v>
      </c>
      <c r="M13" s="543"/>
    </row>
    <row r="14" spans="2:13" ht="14.15" customHeight="1" thickBot="1" x14ac:dyDescent="0.35">
      <c r="J14" s="12"/>
      <c r="K14" s="12"/>
      <c r="M14" s="543"/>
    </row>
    <row r="15" spans="2:13" ht="45" customHeight="1" thickBot="1" x14ac:dyDescent="0.35">
      <c r="B15" s="493" t="s">
        <v>123</v>
      </c>
      <c r="C15" s="494"/>
      <c r="D15" s="494"/>
      <c r="E15" s="494"/>
      <c r="F15" s="494"/>
      <c r="G15" s="494"/>
      <c r="H15" s="494"/>
      <c r="I15" s="494"/>
      <c r="J15" s="494"/>
      <c r="K15" s="495"/>
      <c r="L15" s="14"/>
      <c r="M15" s="543"/>
    </row>
    <row r="16" spans="2:13" ht="54.65" customHeight="1" x14ac:dyDescent="0.3">
      <c r="B16" s="159" t="s">
        <v>125</v>
      </c>
      <c r="C16" s="525" t="s">
        <v>230</v>
      </c>
      <c r="D16" s="515"/>
      <c r="E16" s="515"/>
      <c r="F16" s="515"/>
      <c r="G16" s="515"/>
      <c r="H16" s="515"/>
      <c r="I16" s="515"/>
      <c r="J16" s="515"/>
      <c r="K16" s="516"/>
      <c r="L16" s="12"/>
      <c r="M16" s="543"/>
    </row>
    <row r="17" spans="2:13" ht="68.5" customHeight="1" x14ac:dyDescent="0.3">
      <c r="B17" s="160" t="s">
        <v>67</v>
      </c>
      <c r="C17" s="526" t="s">
        <v>168</v>
      </c>
      <c r="D17" s="517"/>
      <c r="E17" s="517"/>
      <c r="F17" s="517"/>
      <c r="G17" s="517"/>
      <c r="H17" s="517"/>
      <c r="I17" s="517"/>
      <c r="J17" s="517"/>
      <c r="K17" s="518"/>
      <c r="L17" s="12"/>
      <c r="M17" s="543"/>
    </row>
    <row r="18" spans="2:13" ht="50.15" customHeight="1" thickBot="1" x14ac:dyDescent="0.35">
      <c r="B18" s="161" t="s">
        <v>126</v>
      </c>
      <c r="C18" s="533" t="s">
        <v>202</v>
      </c>
      <c r="D18" s="519"/>
      <c r="E18" s="519"/>
      <c r="F18" s="519"/>
      <c r="G18" s="519"/>
      <c r="H18" s="519"/>
      <c r="I18" s="519"/>
      <c r="J18" s="519"/>
      <c r="K18" s="520"/>
      <c r="L18" s="12"/>
      <c r="M18" s="544"/>
    </row>
    <row r="19" spans="2:13" ht="14.15" customHeight="1" x14ac:dyDescent="0.3"/>
    <row r="20" spans="2:13" ht="14.15" customHeight="1" x14ac:dyDescent="0.3"/>
    <row r="21" spans="2:13" ht="14.15" customHeight="1" x14ac:dyDescent="0.3"/>
    <row r="22" spans="2:13" ht="14.15" customHeight="1" x14ac:dyDescent="0.3">
      <c r="C22" s="17"/>
    </row>
    <row r="23" spans="2:13" ht="14.15" customHeight="1" x14ac:dyDescent="0.3"/>
    <row r="24" spans="2:13" ht="14.15" customHeight="1" x14ac:dyDescent="0.3"/>
    <row r="25" spans="2:13" ht="14.15" customHeight="1" x14ac:dyDescent="0.3"/>
    <row r="26" spans="2:13" ht="14.15" customHeight="1" x14ac:dyDescent="0.3"/>
    <row r="27" spans="2:13" ht="14.15" customHeight="1" x14ac:dyDescent="0.3"/>
    <row r="28" spans="2:13" ht="14.15" customHeight="1" x14ac:dyDescent="0.3"/>
    <row r="29" spans="2:13" ht="14.15" customHeight="1" x14ac:dyDescent="0.3"/>
    <row r="30" spans="2:13" ht="14.15" customHeight="1" x14ac:dyDescent="0.3"/>
    <row r="31" spans="2:13" ht="14.15" customHeight="1" x14ac:dyDescent="0.3"/>
    <row r="32" spans="2:13" ht="14.15" customHeight="1" x14ac:dyDescent="0.3"/>
  </sheetData>
  <sheetProtection algorithmName="SHA-512" hashValue="4Y6cfjeBZZ3c6+IkAmkGOMsQVJBsy75EK5we8/QzrAalw1EDDL71Y7y/pI25E5+0MN5m5R2x+Vtc2x7nv0357g==" saltValue="Wh1fK1H4Oq/KtLV+DmJBdQ==" spinCount="100000" sheet="1" selectLockedCells="1"/>
  <protectedRanges>
    <protectedRange password="CAA2" sqref="C8:C9" name="Summe"/>
    <protectedRange password="CAA2" sqref="C10:C11" name="Summe_1"/>
  </protectedRanges>
  <customSheetViews>
    <customSheetView guid="{168849A9-FED9-4458-942F-290616B3A25C}" scale="85" showPageBreaks="1" showGridLines="0" fitToPage="1" printArea="1" topLeftCell="A13">
      <selection activeCell="C17" sqref="C17:J17"/>
      <pageMargins left="0.70866141732283472" right="0.70866141732283472" top="1.1811023622047245" bottom="0.78740157480314965" header="0.31496062992125984" footer="0.31496062992125984"/>
      <pageSetup paperSize="8" scale="75" fitToHeight="0" orientation="landscape" cellComments="atEnd" r:id="rId1"/>
      <headerFooter>
        <oddHeader>&amp;LKennzahlenraster KIP / IAS&amp;R&amp;G</oddHeader>
        <oddFooter>&amp;L&amp;A: Sprachförderung Vorschulkinder&amp;R&amp;P</oddFooter>
      </headerFooter>
    </customSheetView>
  </customSheetViews>
  <mergeCells count="14">
    <mergeCell ref="B1:M1"/>
    <mergeCell ref="J6:K6"/>
    <mergeCell ref="M7:M18"/>
    <mergeCell ref="C3:D3"/>
    <mergeCell ref="C4:D4"/>
    <mergeCell ref="B8:B9"/>
    <mergeCell ref="B6:I6"/>
    <mergeCell ref="C17:K17"/>
    <mergeCell ref="C18:K18"/>
    <mergeCell ref="C9:I9"/>
    <mergeCell ref="B15:K15"/>
    <mergeCell ref="C16:K16"/>
    <mergeCell ref="J7:K7"/>
    <mergeCell ref="J8:K8"/>
  </mergeCells>
  <dataValidations count="5">
    <dataValidation type="whole" operator="greaterThanOrEqual" allowBlank="1" showErrorMessage="1" errorTitle="Fehler" error="Gültig sind nur positive, ganze Zahlen (0, 200, etc.). Kein Text" promptTitle="Ganze Zahlen" prompt="Nur ganzzahlige Werte (0, 1, 200 etc.)" sqref="D8:I8" xr:uid="{00000000-0002-0000-0C00-000000000000}">
      <formula1>0</formula1>
    </dataValidation>
    <dataValidation type="date" allowBlank="1" showInputMessage="1" showErrorMessage="1" error="Veuillez saisir une date de saisie comprise entre le 01.01.2024 et le 31.12.2024." promptTitle="Date de la saisie" prompt="Veuillez saisir la date de la saisie des données" sqref="C4:D4" xr:uid="{00000000-0002-0000-0C00-000001000000}">
      <formula1>45292</formula1>
      <formula2>45657</formula2>
    </dataValidation>
    <dataValidation operator="greaterThanOrEqual" allowBlank="1" sqref="J7" xr:uid="{00000000-0002-0000-0C00-000002000000}"/>
    <dataValidation operator="greaterThanOrEqual" sqref="J9" xr:uid="{00000000-0002-0000-0C00-000003000000}"/>
    <dataValidation allowBlank="1" sqref="C10:I11" xr:uid="{FAA5DD43-BE09-416C-A01D-4701FBED7B2F}"/>
  </dataValidations>
  <pageMargins left="0.70866141732283472" right="0.70866141732283472" top="1.1811023622047245" bottom="0.78740157480314965" header="0.31496062992125984" footer="0.31496062992125984"/>
  <pageSetup paperSize="8" scale="77" fitToHeight="0" orientation="landscape" cellComments="atEnd" r:id="rId2"/>
  <headerFooter>
    <oddHeader>&amp;LKennzahlenraster KIP / IAS&amp;R&amp;G</oddHeader>
    <oddFooter>&amp;L&amp;A: Sprachförderung Vorschulkinder&amp;R&amp;P</oddFooter>
  </headerFooter>
  <legacyDrawingHF r:id="rId3"/>
  <extLst>
    <ext xmlns:x14="http://schemas.microsoft.com/office/spreadsheetml/2009/9/main" uri="{CCE6A557-97BC-4b89-ADB6-D9C93CAAB3DF}">
      <x14:dataValidations xmlns:xm="http://schemas.microsoft.com/office/excel/2006/main" count="1">
        <x14:dataValidation type="list" operator="greaterThanOrEqual" xr:uid="{00000000-0002-0000-0C00-000005000000}">
          <x14:formula1>
            <xm:f>Dropdownlisten!$C$4:$C$6</xm:f>
          </x14:formula1>
          <xm:sqref>J8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theme="3" tint="0.59999389629810485"/>
    <pageSetUpPr fitToPage="1"/>
  </sheetPr>
  <dimension ref="B1:N47"/>
  <sheetViews>
    <sheetView showGridLines="0" zoomScale="70" zoomScaleNormal="70" workbookViewId="0">
      <selection activeCell="N7" sqref="N7:N17"/>
    </sheetView>
  </sheetViews>
  <sheetFormatPr baseColWidth="10" defaultColWidth="11" defaultRowHeight="14" x14ac:dyDescent="0.3"/>
  <cols>
    <col min="1" max="1" width="2.08203125" style="13" customWidth="1"/>
    <col min="2" max="2" width="39.83203125" style="13" customWidth="1"/>
    <col min="3" max="11" width="15.83203125" style="13" customWidth="1"/>
    <col min="12" max="12" width="20.25" style="13" hidden="1" customWidth="1"/>
    <col min="13" max="13" width="2.58203125" style="13" customWidth="1"/>
    <col min="14" max="14" width="63.58203125" style="13" customWidth="1"/>
    <col min="15" max="16384" width="11" style="13"/>
  </cols>
  <sheetData>
    <row r="1" spans="2:14" s="1" customFormat="1" ht="28" x14ac:dyDescent="0.6">
      <c r="B1" s="492" t="s">
        <v>248</v>
      </c>
      <c r="C1" s="492"/>
      <c r="D1" s="492"/>
      <c r="E1" s="492"/>
      <c r="F1" s="492"/>
      <c r="G1" s="492"/>
      <c r="H1" s="492"/>
      <c r="I1" s="492"/>
      <c r="J1" s="492"/>
      <c r="K1" s="492"/>
      <c r="L1" s="247"/>
      <c r="M1" s="13"/>
      <c r="N1" s="13"/>
    </row>
    <row r="2" spans="2:14" s="1" customFormat="1" x14ac:dyDescent="0.3">
      <c r="B2" s="16"/>
      <c r="C2" s="16"/>
      <c r="D2" s="16"/>
      <c r="E2" s="16"/>
      <c r="F2" s="16"/>
      <c r="G2" s="16"/>
      <c r="M2" s="13"/>
    </row>
    <row r="3" spans="2:14" s="1" customFormat="1" ht="28.5" customHeight="1" x14ac:dyDescent="0.3">
      <c r="B3" s="275" t="s">
        <v>42</v>
      </c>
      <c r="C3" s="508" t="str">
        <f>'Table des matières'!D4</f>
        <v>CH</v>
      </c>
      <c r="D3" s="508"/>
      <c r="E3" s="92"/>
      <c r="F3" s="92"/>
      <c r="M3" s="13"/>
    </row>
    <row r="4" spans="2:14" s="1" customFormat="1" ht="28.5" customHeight="1" x14ac:dyDescent="0.3">
      <c r="B4" s="275" t="s">
        <v>63</v>
      </c>
      <c r="C4" s="472"/>
      <c r="D4" s="472"/>
      <c r="E4" s="92"/>
      <c r="F4" s="92"/>
      <c r="H4" s="93"/>
      <c r="M4" s="13"/>
    </row>
    <row r="5" spans="2:14" ht="14.15" customHeight="1" thickBot="1" x14ac:dyDescent="0.35"/>
    <row r="6" spans="2:14" ht="45" customHeight="1" thickBot="1" x14ac:dyDescent="0.35">
      <c r="B6" s="511"/>
      <c r="C6" s="512"/>
      <c r="D6" s="512"/>
      <c r="E6" s="512"/>
      <c r="F6" s="512"/>
      <c r="G6" s="512"/>
      <c r="H6" s="512"/>
      <c r="I6" s="513"/>
      <c r="J6" s="458" t="s">
        <v>132</v>
      </c>
      <c r="K6" s="459"/>
      <c r="L6" s="66" t="s">
        <v>133</v>
      </c>
      <c r="M6" s="255"/>
      <c r="N6" s="66" t="s">
        <v>124</v>
      </c>
    </row>
    <row r="7" spans="2:14" s="16" customFormat="1" ht="45" customHeight="1" thickBot="1" x14ac:dyDescent="0.35">
      <c r="B7" s="154" t="s">
        <v>120</v>
      </c>
      <c r="C7" s="150" t="s">
        <v>0</v>
      </c>
      <c r="D7" s="151" t="s">
        <v>74</v>
      </c>
      <c r="E7" s="151" t="s">
        <v>75</v>
      </c>
      <c r="F7" s="151" t="s">
        <v>154</v>
      </c>
      <c r="G7" s="151" t="s">
        <v>76</v>
      </c>
      <c r="H7" s="152" t="s">
        <v>121</v>
      </c>
      <c r="I7" s="163" t="s">
        <v>122</v>
      </c>
      <c r="J7" s="319" t="s">
        <v>81</v>
      </c>
      <c r="K7" s="319" t="s">
        <v>166</v>
      </c>
      <c r="L7" s="148" t="s">
        <v>136</v>
      </c>
      <c r="M7" s="360"/>
      <c r="N7" s="530"/>
    </row>
    <row r="8" spans="2:14" ht="58.5" customHeight="1" thickBot="1" x14ac:dyDescent="0.35">
      <c r="B8" s="306" t="s">
        <v>205</v>
      </c>
      <c r="C8" s="116">
        <f>SUM(D8:E8,G8)</f>
        <v>0</v>
      </c>
      <c r="D8" s="125"/>
      <c r="E8" s="117"/>
      <c r="F8" s="117"/>
      <c r="G8" s="117"/>
      <c r="H8" s="117"/>
      <c r="I8" s="126"/>
      <c r="J8" s="129" t="s">
        <v>33</v>
      </c>
      <c r="K8" s="128" t="s">
        <v>33</v>
      </c>
      <c r="L8" s="250" t="s">
        <v>33</v>
      </c>
      <c r="M8" s="361"/>
      <c r="N8" s="531"/>
    </row>
    <row r="9" spans="2:14" ht="43.5" customHeight="1" x14ac:dyDescent="0.3">
      <c r="B9" s="227" t="s">
        <v>199</v>
      </c>
      <c r="C9" s="226">
        <f>SUM(D9:E9,G9)</f>
        <v>8919</v>
      </c>
      <c r="D9" s="292">
        <f>VLOOKUP($C$3,bestand_ias,23,FALSE)</f>
        <v>2171</v>
      </c>
      <c r="E9" s="292">
        <f>VLOOKUP($C$3,bestand_ias,24,FALSE)</f>
        <v>6748</v>
      </c>
      <c r="F9" s="292">
        <f>VLOOKUP($C$3,bestand_ias,25,FALSE)</f>
        <v>7176</v>
      </c>
      <c r="G9" s="293" t="s">
        <v>35</v>
      </c>
      <c r="H9" s="293">
        <f>VLOOKUP($C$3,bestand_ias,26,FALSE)</f>
        <v>1424</v>
      </c>
      <c r="I9" s="294">
        <f>VLOOKUP($C$3,bestand_ias,27,FALSE)</f>
        <v>7495</v>
      </c>
      <c r="J9" s="548"/>
      <c r="K9" s="549"/>
      <c r="L9" s="251"/>
      <c r="M9" s="256"/>
      <c r="N9" s="531"/>
    </row>
    <row r="10" spans="2:14" ht="43.5" customHeight="1" thickBot="1" x14ac:dyDescent="0.35">
      <c r="B10" s="223" t="s">
        <v>234</v>
      </c>
      <c r="C10" s="220">
        <f>SUM(D10:E10,G10)</f>
        <v>9710</v>
      </c>
      <c r="D10" s="298">
        <f>VLOOKUP($C$3,bestand_alle,18,FALSE)</f>
        <v>2553</v>
      </c>
      <c r="E10" s="298">
        <f>VLOOKUP($C$3,bestand_alle,19,FALSE)</f>
        <v>7157</v>
      </c>
      <c r="F10" s="298">
        <f>VLOOKUP($C$3,bestand_alle,20,FALSE)</f>
        <v>7176</v>
      </c>
      <c r="G10" s="299" t="s">
        <v>35</v>
      </c>
      <c r="H10" s="299">
        <f>VLOOKUP($C$3,bestand_alle,21,FALSE)</f>
        <v>1799</v>
      </c>
      <c r="I10" s="300">
        <f>VLOOKUP($C$3,bestand_alle,22,FALSE)</f>
        <v>7911</v>
      </c>
      <c r="J10" s="550"/>
      <c r="K10" s="551"/>
      <c r="L10" s="252"/>
      <c r="M10" s="256"/>
      <c r="N10" s="531"/>
    </row>
    <row r="11" spans="2:14" ht="14.15" customHeight="1" x14ac:dyDescent="0.3">
      <c r="B11" s="1" t="s">
        <v>223</v>
      </c>
      <c r="N11" s="531"/>
    </row>
    <row r="12" spans="2:14" ht="14.15" customHeight="1" x14ac:dyDescent="0.3">
      <c r="B12" s="324" t="s">
        <v>222</v>
      </c>
      <c r="N12" s="531"/>
    </row>
    <row r="13" spans="2:14" ht="14.15" customHeight="1" thickBot="1" x14ac:dyDescent="0.35">
      <c r="J13" s="12"/>
      <c r="K13" s="12"/>
      <c r="L13" s="12"/>
      <c r="N13" s="531"/>
    </row>
    <row r="14" spans="2:14" ht="45" customHeight="1" thickBot="1" x14ac:dyDescent="0.35">
      <c r="B14" s="493" t="s">
        <v>123</v>
      </c>
      <c r="C14" s="494"/>
      <c r="D14" s="494"/>
      <c r="E14" s="494"/>
      <c r="F14" s="494"/>
      <c r="G14" s="494"/>
      <c r="H14" s="494"/>
      <c r="I14" s="494"/>
      <c r="J14" s="494"/>
      <c r="K14" s="494"/>
      <c r="L14" s="495"/>
      <c r="M14" s="254"/>
      <c r="N14" s="531"/>
    </row>
    <row r="15" spans="2:14" ht="35.25" customHeight="1" x14ac:dyDescent="0.3">
      <c r="B15" s="162" t="s">
        <v>125</v>
      </c>
      <c r="C15" s="525" t="s">
        <v>206</v>
      </c>
      <c r="D15" s="515"/>
      <c r="E15" s="515"/>
      <c r="F15" s="515"/>
      <c r="G15" s="515"/>
      <c r="H15" s="515"/>
      <c r="I15" s="515"/>
      <c r="J15" s="515"/>
      <c r="K15" s="515"/>
      <c r="L15" s="516"/>
      <c r="M15" s="340"/>
      <c r="N15" s="531"/>
    </row>
    <row r="16" spans="2:14" ht="208.5" customHeight="1" x14ac:dyDescent="0.3">
      <c r="B16" s="160" t="s">
        <v>67</v>
      </c>
      <c r="C16" s="526" t="s">
        <v>186</v>
      </c>
      <c r="D16" s="517"/>
      <c r="E16" s="517"/>
      <c r="F16" s="517"/>
      <c r="G16" s="517"/>
      <c r="H16" s="517"/>
      <c r="I16" s="517"/>
      <c r="J16" s="517"/>
      <c r="K16" s="517"/>
      <c r="L16" s="518"/>
      <c r="M16" s="340"/>
      <c r="N16" s="531"/>
    </row>
    <row r="17" spans="2:14" ht="46.5" customHeight="1" thickBot="1" x14ac:dyDescent="0.35">
      <c r="B17" s="161" t="s">
        <v>126</v>
      </c>
      <c r="C17" s="527" t="s">
        <v>207</v>
      </c>
      <c r="D17" s="528"/>
      <c r="E17" s="528"/>
      <c r="F17" s="528"/>
      <c r="G17" s="528"/>
      <c r="H17" s="528"/>
      <c r="I17" s="528"/>
      <c r="J17" s="528"/>
      <c r="K17" s="528"/>
      <c r="L17" s="529"/>
      <c r="M17" s="340"/>
      <c r="N17" s="532"/>
    </row>
    <row r="18" spans="2:14" ht="14.15" customHeight="1" x14ac:dyDescent="0.3"/>
    <row r="19" spans="2:14" ht="14.15" customHeight="1" x14ac:dyDescent="0.3"/>
    <row r="20" spans="2:14" ht="14.15" customHeight="1" x14ac:dyDescent="0.3"/>
    <row r="21" spans="2:14" ht="14.15" customHeight="1" x14ac:dyDescent="0.3">
      <c r="C21" s="17"/>
    </row>
    <row r="22" spans="2:14" ht="14.15" customHeight="1" x14ac:dyDescent="0.3"/>
    <row r="23" spans="2:14" ht="14.15" customHeight="1" x14ac:dyDescent="0.3"/>
    <row r="24" spans="2:14" ht="14.15" customHeight="1" x14ac:dyDescent="0.3"/>
    <row r="25" spans="2:14" ht="14.15" customHeight="1" x14ac:dyDescent="0.3"/>
    <row r="26" spans="2:14" ht="14.15" customHeight="1" x14ac:dyDescent="0.3"/>
    <row r="27" spans="2:14" ht="14.15" customHeight="1" x14ac:dyDescent="0.3"/>
    <row r="28" spans="2:14" ht="14.15" customHeight="1" x14ac:dyDescent="0.3"/>
    <row r="29" spans="2:14" ht="14.15" customHeight="1" x14ac:dyDescent="0.3"/>
    <row r="30" spans="2:14" ht="14.15" customHeight="1" x14ac:dyDescent="0.3"/>
    <row r="31" spans="2:14" ht="14.15" customHeight="1" x14ac:dyDescent="0.3"/>
    <row r="32" spans="2:14"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row r="41" ht="14.15" customHeight="1" x14ac:dyDescent="0.3"/>
    <row r="42" ht="14.15" customHeight="1" x14ac:dyDescent="0.3"/>
    <row r="43" ht="14.15" customHeight="1" x14ac:dyDescent="0.3"/>
    <row r="44" ht="14.15" customHeight="1" x14ac:dyDescent="0.3"/>
    <row r="45" ht="14.15" customHeight="1" x14ac:dyDescent="0.3"/>
    <row r="46" ht="14.15" customHeight="1" x14ac:dyDescent="0.3"/>
    <row r="47" ht="14.15" customHeight="1" x14ac:dyDescent="0.3"/>
  </sheetData>
  <sheetProtection algorithmName="SHA-512" hashValue="9W6vRyVVVFHLY3SBMEijwwKfL5kf9MG0TNjb9aqE9boWjBDEdTvDy0d4zRtMn0i6nXwa2t/RG5c+A7afn6yfsQ==" saltValue="Y2CDAKlxSj7LCLd3Eti8/w==" spinCount="100000" sheet="1" selectLockedCells="1"/>
  <protectedRanges>
    <protectedRange password="CAA2" sqref="C8" name="Summe"/>
    <protectedRange password="CAA2" sqref="C9:C10" name="Summe_1"/>
  </protectedRanges>
  <customSheetViews>
    <customSheetView guid="{168849A9-FED9-4458-942F-290616B3A25C}" scale="70" showPageBreaks="1" showGridLines="0" fitToPage="1" printArea="1" topLeftCell="A10">
      <selection activeCell="I26" sqref="I26"/>
      <pageMargins left="0.70866141732283472" right="0.70866141732283472" top="1.1811023622047245" bottom="0.78740157480314965" header="0.31496062992125984" footer="0.31496062992125984"/>
      <pageSetup paperSize="8" scale="75" fitToHeight="0" orientation="landscape" cellComments="atEnd" r:id="rId1"/>
      <headerFooter>
        <oddHeader>&amp;LKennzahlenraster KIP / IAS&amp;R&amp;G</oddHeader>
        <oddFooter>&amp;L&amp;A: Förderung Ausbildungsfähigkeit (16-25-Jährige)&amp;R&amp;P</oddFooter>
      </headerFooter>
    </customSheetView>
  </customSheetViews>
  <mergeCells count="11">
    <mergeCell ref="N7:N17"/>
    <mergeCell ref="B14:L14"/>
    <mergeCell ref="C15:L15"/>
    <mergeCell ref="C16:L16"/>
    <mergeCell ref="C17:L17"/>
    <mergeCell ref="B1:K1"/>
    <mergeCell ref="C3:D3"/>
    <mergeCell ref="C4:D4"/>
    <mergeCell ref="J6:K6"/>
    <mergeCell ref="J9:K10"/>
    <mergeCell ref="B6:I6"/>
  </mergeCells>
  <dataValidations count="5">
    <dataValidation type="whole" operator="greaterThanOrEqual" allowBlank="1" showErrorMessage="1" errorTitle="Fehler" error="Gültig sind nur positive, ganze Zahlen (0, 200, etc.). Kein Text" promptTitle="Ganze Zahlen" prompt="Nur ganzzahlige Werte (0, 1, 200 etc.)" sqref="D8:I8" xr:uid="{00000000-0002-0000-0D00-000000000000}">
      <formula1>0</formula1>
    </dataValidation>
    <dataValidation type="date" allowBlank="1" showInputMessage="1" showErrorMessage="1" error="Veuillez saisir une date de saisie comprise entre le 01.01.2024 et le 31.12.2024." promptTitle="Date de la saisie" prompt="Veuillez saisir la date de la saisie des données" sqref="C4:D4" xr:uid="{00000000-0002-0000-0D00-000001000000}">
      <formula1>45292</formula1>
      <formula2>45657</formula2>
    </dataValidation>
    <dataValidation allowBlank="1" sqref="C9:I10" xr:uid="{8BBC7130-EE5A-405E-B5FB-74ECD51AD273}"/>
    <dataValidation type="list" allowBlank="1" showInputMessage="1" showErrorMessage="1" sqref="L9:L10" xr:uid="{00000000-0002-0000-0D00-000003000000}">
      <formula1>$P$4:$P$5</formula1>
    </dataValidation>
    <dataValidation operator="greaterThanOrEqual" allowBlank="1" sqref="M7 J7:K7" xr:uid="{00000000-0002-0000-0D00-000004000000}"/>
  </dataValidations>
  <pageMargins left="0.70866141732283472" right="0.70866141732283472" top="1.1811023622047245" bottom="0.78740157480314965" header="0.31496062992125984" footer="0.31496062992125984"/>
  <pageSetup paperSize="8" scale="69" fitToHeight="0" orientation="landscape" cellComments="atEnd" r:id="rId2"/>
  <headerFooter>
    <oddHeader>&amp;LKennzahlenraster KIP / IAS&amp;R&amp;G</oddHeader>
    <oddFooter>&amp;L&amp;A: Förderung Ausbildungsfähigkeit (16-25-Jährige)&amp;R&amp;P</oddFooter>
  </headerFooter>
  <legacyDrawingHF r:id="rId3"/>
  <extLst>
    <ext xmlns:x14="http://schemas.microsoft.com/office/spreadsheetml/2009/9/main" uri="{CCE6A557-97BC-4b89-ADB6-D9C93CAAB3DF}">
      <x14:dataValidations xmlns:xm="http://schemas.microsoft.com/office/excel/2006/main" count="3">
        <x14:dataValidation type="list" operator="greaterThanOrEqual" xr:uid="{00000000-0002-0000-0D00-000005000000}">
          <x14:formula1>
            <xm:f>Dropdownlisten!$C$4:$C$6</xm:f>
          </x14:formula1>
          <xm:sqref>J8</xm:sqref>
        </x14:dataValidation>
        <x14:dataValidation type="list" operator="greaterThanOrEqual" xr:uid="{00000000-0002-0000-0D00-000006000000}">
          <x14:formula1>
            <xm:f>Dropdownlisten!$E$4:$E$6</xm:f>
          </x14:formula1>
          <xm:sqref>K8 M8</xm:sqref>
        </x14:dataValidation>
        <x14:dataValidation type="list" allowBlank="1" showInputMessage="1" showErrorMessage="1" xr:uid="{00000000-0002-0000-0D00-000007000000}">
          <x14:formula1>
            <xm:f>Dropdownlisten!$E$9:$E$11</xm:f>
          </x14:formula1>
          <xm:sqref>L8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tabColor theme="3" tint="0.59999389629810485"/>
    <pageSetUpPr fitToPage="1"/>
  </sheetPr>
  <dimension ref="B1:M39"/>
  <sheetViews>
    <sheetView showGridLines="0" topLeftCell="A2" zoomScale="70" zoomScaleNormal="70" workbookViewId="0">
      <selection activeCell="M7" sqref="M7:M17"/>
    </sheetView>
  </sheetViews>
  <sheetFormatPr baseColWidth="10" defaultColWidth="11" defaultRowHeight="14" x14ac:dyDescent="0.3"/>
  <cols>
    <col min="1" max="1" width="2.08203125" style="13" customWidth="1"/>
    <col min="2" max="2" width="39.33203125" style="13" customWidth="1"/>
    <col min="3" max="11" width="15.83203125" style="13" customWidth="1"/>
    <col min="12" max="12" width="2.5" style="13" customWidth="1"/>
    <col min="13" max="13" width="63.58203125" style="13" customWidth="1"/>
    <col min="14" max="14" width="2.08203125" style="13" customWidth="1"/>
    <col min="15" max="16384" width="11" style="13"/>
  </cols>
  <sheetData>
    <row r="1" spans="2:13" s="1" customFormat="1" ht="25" x14ac:dyDescent="0.5">
      <c r="B1" s="507" t="s">
        <v>249</v>
      </c>
      <c r="C1" s="507"/>
      <c r="D1" s="507"/>
      <c r="E1" s="507"/>
      <c r="F1" s="507"/>
      <c r="G1" s="507"/>
      <c r="H1" s="507"/>
      <c r="I1" s="507"/>
      <c r="J1" s="507"/>
      <c r="K1" s="507"/>
    </row>
    <row r="2" spans="2:13" s="1" customFormat="1" x14ac:dyDescent="0.3">
      <c r="B2" s="16"/>
      <c r="C2" s="16"/>
      <c r="D2" s="16"/>
      <c r="E2" s="16"/>
      <c r="F2" s="16"/>
      <c r="G2" s="16"/>
    </row>
    <row r="3" spans="2:13" s="1" customFormat="1" ht="28.5" customHeight="1" x14ac:dyDescent="0.3">
      <c r="B3" s="275" t="s">
        <v>42</v>
      </c>
      <c r="C3" s="508" t="str">
        <f>'Table des matières'!D4</f>
        <v>CH</v>
      </c>
      <c r="D3" s="508"/>
      <c r="E3" s="92"/>
      <c r="F3" s="92"/>
    </row>
    <row r="4" spans="2:13" s="1" customFormat="1" ht="28.5" customHeight="1" x14ac:dyDescent="0.3">
      <c r="B4" s="275" t="s">
        <v>63</v>
      </c>
      <c r="C4" s="472"/>
      <c r="D4" s="472"/>
      <c r="E4" s="92"/>
      <c r="F4" s="92"/>
      <c r="H4" s="93"/>
    </row>
    <row r="5" spans="2:13" ht="14.15" customHeight="1" thickBot="1" x14ac:dyDescent="0.35"/>
    <row r="6" spans="2:13" ht="45" customHeight="1" thickBot="1" x14ac:dyDescent="0.35">
      <c r="B6" s="511"/>
      <c r="C6" s="512"/>
      <c r="D6" s="512"/>
      <c r="E6" s="512"/>
      <c r="F6" s="512"/>
      <c r="G6" s="512"/>
      <c r="H6" s="512"/>
      <c r="I6" s="513"/>
      <c r="J6" s="458" t="s">
        <v>132</v>
      </c>
      <c r="K6" s="459"/>
      <c r="M6" s="66" t="s">
        <v>124</v>
      </c>
    </row>
    <row r="7" spans="2:13" s="16" customFormat="1" ht="45" customHeight="1" thickBot="1" x14ac:dyDescent="0.35">
      <c r="B7" s="154" t="s">
        <v>120</v>
      </c>
      <c r="C7" s="150" t="s">
        <v>0</v>
      </c>
      <c r="D7" s="151" t="s">
        <v>74</v>
      </c>
      <c r="E7" s="151" t="s">
        <v>75</v>
      </c>
      <c r="F7" s="151" t="s">
        <v>154</v>
      </c>
      <c r="G7" s="151" t="s">
        <v>76</v>
      </c>
      <c r="H7" s="152" t="s">
        <v>121</v>
      </c>
      <c r="I7" s="153" t="s">
        <v>122</v>
      </c>
      <c r="J7" s="319" t="s">
        <v>81</v>
      </c>
      <c r="K7" s="319" t="s">
        <v>166</v>
      </c>
      <c r="L7" s="13"/>
      <c r="M7" s="530"/>
    </row>
    <row r="8" spans="2:13" ht="61" customHeight="1" thickBot="1" x14ac:dyDescent="0.35">
      <c r="B8" s="306" t="s">
        <v>208</v>
      </c>
      <c r="C8" s="116">
        <f>SUM(D8:E8,G8)</f>
        <v>0</v>
      </c>
      <c r="D8" s="125"/>
      <c r="E8" s="117"/>
      <c r="F8" s="117"/>
      <c r="G8" s="117"/>
      <c r="H8" s="117"/>
      <c r="I8" s="118"/>
      <c r="J8" s="129" t="s">
        <v>33</v>
      </c>
      <c r="K8" s="128" t="s">
        <v>33</v>
      </c>
      <c r="M8" s="531"/>
    </row>
    <row r="9" spans="2:13" ht="43.5" customHeight="1" x14ac:dyDescent="0.3">
      <c r="B9" s="227" t="s">
        <v>199</v>
      </c>
      <c r="C9" s="226">
        <f>SUM(D9:E9,G9)</f>
        <v>13087</v>
      </c>
      <c r="D9" s="301">
        <f>VLOOKUP($C$3,bestand_ias,28,FALSE)</f>
        <v>9792</v>
      </c>
      <c r="E9" s="293">
        <f>VLOOKUP($C$3,bestand_ias,29,FALSE)</f>
        <v>3295</v>
      </c>
      <c r="F9" s="293">
        <f>VLOOKUP($C$3,bestand_ias,30,FALSE)</f>
        <v>28471</v>
      </c>
      <c r="G9" s="293" t="s">
        <v>35</v>
      </c>
      <c r="H9" s="292">
        <f>VLOOKUP($C$3,bestand_ias,31,FALSE)</f>
        <v>6174</v>
      </c>
      <c r="I9" s="302">
        <f>VLOOKUP($C$3,bestand_ias,32,FALSE)</f>
        <v>6913</v>
      </c>
      <c r="J9" s="548"/>
      <c r="K9" s="549"/>
      <c r="M9" s="531"/>
    </row>
    <row r="10" spans="2:13" ht="43.5" customHeight="1" thickBot="1" x14ac:dyDescent="0.35">
      <c r="B10" s="223" t="s">
        <v>234</v>
      </c>
      <c r="C10" s="220">
        <f>SUM(D10:E10,G10)</f>
        <v>16294</v>
      </c>
      <c r="D10" s="303">
        <f>VLOOKUP($C$3,bestand_alle,23,FALSE)</f>
        <v>11976</v>
      </c>
      <c r="E10" s="299">
        <f>VLOOKUP($C$3,bestand_alle,24,FALSE)</f>
        <v>4318</v>
      </c>
      <c r="F10" s="299">
        <f>VLOOKUP($C$3,bestand_alle,25,FALSE)</f>
        <v>28471</v>
      </c>
      <c r="G10" s="299" t="s">
        <v>35</v>
      </c>
      <c r="H10" s="298">
        <f>VLOOKUP($C$3,bestand_alle,26,FALSE)</f>
        <v>8169</v>
      </c>
      <c r="I10" s="304">
        <f>VLOOKUP($C$3,bestand_alle,27,FALSE)</f>
        <v>8125</v>
      </c>
      <c r="J10" s="550"/>
      <c r="K10" s="551"/>
      <c r="M10" s="531"/>
    </row>
    <row r="11" spans="2:13" x14ac:dyDescent="0.3">
      <c r="B11" s="1" t="s">
        <v>223</v>
      </c>
      <c r="L11" s="14"/>
      <c r="M11" s="531"/>
    </row>
    <row r="12" spans="2:13" x14ac:dyDescent="0.3">
      <c r="B12" s="324" t="s">
        <v>222</v>
      </c>
      <c r="L12" s="14"/>
      <c r="M12" s="531"/>
    </row>
    <row r="13" spans="2:13" ht="14.5" thickBot="1" x14ac:dyDescent="0.35">
      <c r="L13" s="14"/>
      <c r="M13" s="531"/>
    </row>
    <row r="14" spans="2:13" ht="45" customHeight="1" thickBot="1" x14ac:dyDescent="0.35">
      <c r="B14" s="493" t="s">
        <v>123</v>
      </c>
      <c r="C14" s="494"/>
      <c r="D14" s="494"/>
      <c r="E14" s="494"/>
      <c r="F14" s="494"/>
      <c r="G14" s="494"/>
      <c r="H14" s="494"/>
      <c r="I14" s="494"/>
      <c r="J14" s="494"/>
      <c r="K14" s="495"/>
      <c r="L14" s="12"/>
      <c r="M14" s="531"/>
    </row>
    <row r="15" spans="2:13" ht="57" customHeight="1" x14ac:dyDescent="0.3">
      <c r="B15" s="162" t="s">
        <v>125</v>
      </c>
      <c r="C15" s="525" t="s">
        <v>209</v>
      </c>
      <c r="D15" s="515"/>
      <c r="E15" s="515"/>
      <c r="F15" s="515"/>
      <c r="G15" s="515"/>
      <c r="H15" s="515"/>
      <c r="I15" s="515"/>
      <c r="J15" s="515"/>
      <c r="K15" s="516"/>
      <c r="L15" s="12"/>
      <c r="M15" s="531"/>
    </row>
    <row r="16" spans="2:13" ht="207" customHeight="1" x14ac:dyDescent="0.3">
      <c r="B16" s="160" t="s">
        <v>67</v>
      </c>
      <c r="C16" s="526" t="s">
        <v>187</v>
      </c>
      <c r="D16" s="517"/>
      <c r="E16" s="517"/>
      <c r="F16" s="517"/>
      <c r="G16" s="517"/>
      <c r="H16" s="517"/>
      <c r="I16" s="517"/>
      <c r="J16" s="517"/>
      <c r="K16" s="518"/>
      <c r="M16" s="531"/>
    </row>
    <row r="17" spans="2:13" ht="55" customHeight="1" thickBot="1" x14ac:dyDescent="0.35">
      <c r="B17" s="161" t="s">
        <v>126</v>
      </c>
      <c r="C17" s="527" t="s">
        <v>210</v>
      </c>
      <c r="D17" s="528"/>
      <c r="E17" s="528"/>
      <c r="F17" s="528"/>
      <c r="G17" s="528"/>
      <c r="H17" s="528"/>
      <c r="I17" s="528"/>
      <c r="J17" s="528"/>
      <c r="K17" s="529"/>
      <c r="M17" s="532"/>
    </row>
    <row r="18" spans="2:13" ht="14.15" customHeight="1" x14ac:dyDescent="0.3">
      <c r="J18" s="12"/>
      <c r="K18" s="12"/>
    </row>
    <row r="19" spans="2:13" ht="14.15" customHeight="1" x14ac:dyDescent="0.3"/>
    <row r="20" spans="2:13" ht="14.15" customHeight="1" x14ac:dyDescent="0.3"/>
    <row r="21" spans="2:13" ht="14.15" customHeight="1" x14ac:dyDescent="0.3">
      <c r="C21" s="17"/>
    </row>
    <row r="22" spans="2:13" ht="14.15" customHeight="1" x14ac:dyDescent="0.3"/>
    <row r="23" spans="2:13" ht="14.15" customHeight="1" x14ac:dyDescent="0.3"/>
    <row r="24" spans="2:13" ht="14.15" customHeight="1" x14ac:dyDescent="0.3"/>
    <row r="25" spans="2:13" ht="14.15" customHeight="1" x14ac:dyDescent="0.3"/>
    <row r="26" spans="2:13" ht="14.15" customHeight="1" x14ac:dyDescent="0.3"/>
    <row r="27" spans="2:13" ht="14.15" customHeight="1" x14ac:dyDescent="0.3"/>
    <row r="28" spans="2:13" ht="14.15" customHeight="1" x14ac:dyDescent="0.3"/>
    <row r="29" spans="2:13" ht="14.15" customHeight="1" x14ac:dyDescent="0.3"/>
    <row r="30" spans="2:13" ht="14.15" customHeight="1" x14ac:dyDescent="0.3"/>
    <row r="31" spans="2:13" ht="14.15" customHeight="1" x14ac:dyDescent="0.3"/>
    <row r="32" spans="2:13"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sheetData>
  <sheetProtection algorithmName="SHA-512" hashValue="4f0I9fTRB50pGT36Ab9ITF7CfZ9oI3rVyatv6cmYP+jPxR1HlSG8wKrnskKZ0iyiu6324kho3YM/ay4GGVQq2Q==" saltValue="u7YbBueFHpNcsfPHrycR8A==" spinCount="100000" sheet="1" selectLockedCells="1"/>
  <protectedRanges>
    <protectedRange password="CAA2" sqref="C8" name="Summe"/>
    <protectedRange password="CAA2" sqref="C9:C10" name="Summe_4_1"/>
  </protectedRanges>
  <customSheetViews>
    <customSheetView guid="{168849A9-FED9-4458-942F-290616B3A25C}" scale="50" showPageBreaks="1" showGridLines="0" fitToPage="1" printArea="1" topLeftCell="A13">
      <selection activeCell="L57" sqref="L57"/>
      <pageMargins left="0.70866141732283472" right="0.70866141732283472" top="1.1811023622047245" bottom="0.78740157480314965" header="0.31496062992125984" footer="0.31496062992125984"/>
      <pageSetup paperSize="8" scale="75" fitToHeight="0" orientation="landscape" cellComments="atEnd" r:id="rId1"/>
      <headerFooter>
        <oddHeader>&amp;LKennzahlenraster KIP / IAS&amp;R&amp;G</oddHeader>
        <oddFooter>&amp;L&amp;A: Förderung Arbeitsfähigkeit (26-55-Jährige)&amp;R&amp;P</oddFooter>
      </headerFooter>
    </customSheetView>
  </customSheetViews>
  <mergeCells count="11">
    <mergeCell ref="M7:M17"/>
    <mergeCell ref="J9:K10"/>
    <mergeCell ref="B14:K14"/>
    <mergeCell ref="C15:K15"/>
    <mergeCell ref="C16:K16"/>
    <mergeCell ref="C17:K17"/>
    <mergeCell ref="C3:D3"/>
    <mergeCell ref="C4:D4"/>
    <mergeCell ref="B6:I6"/>
    <mergeCell ref="J6:K6"/>
    <mergeCell ref="B1:K1"/>
  </mergeCells>
  <dataValidations xWindow="533" yWindow="628" count="4">
    <dataValidation type="whole" operator="greaterThanOrEqual" allowBlank="1" showErrorMessage="1" errorTitle="Fehler" error="Gültig sind nur positive, ganze Zahlen (0, 200, etc.). Kein Text" promptTitle="Ganze Zahlen" prompt="Nur ganzzahlige Werte (0, 1, 200 etc.)" sqref="D8:I8" xr:uid="{00000000-0002-0000-0E00-000000000000}">
      <formula1>0</formula1>
    </dataValidation>
    <dataValidation type="date" allowBlank="1" showInputMessage="1" showErrorMessage="1" error="Veuillez saisir une date de saisie comprise entre le 01.01.2024 et le 31.12.2024." promptTitle="Date de la saisie" prompt="Veuillez saisir la date de la saisie des données" sqref="C4:D4" xr:uid="{00000000-0002-0000-0E00-000001000000}">
      <formula1>45292</formula1>
      <formula2>45657</formula2>
    </dataValidation>
    <dataValidation operator="greaterThanOrEqual" allowBlank="1" sqref="J7:K7" xr:uid="{00000000-0002-0000-0E00-000002000000}"/>
    <dataValidation allowBlank="1" sqref="C9:I10" xr:uid="{7E7334AB-6B8C-4F59-80FD-8E414DC649AC}"/>
  </dataValidations>
  <pageMargins left="0.70866141732283472" right="0.70866141732283472" top="1.1811023622047245" bottom="0.78740157480314965" header="0.31496062992125984" footer="0.31496062992125984"/>
  <pageSetup paperSize="8" scale="69" fitToHeight="0" orientation="landscape" cellComments="atEnd" r:id="rId2"/>
  <headerFooter>
    <oddFooter>&amp;L&amp;A: Förderung Arbeitsfähigkeit (26-55-Jährige)&amp;R&amp;P</oddFooter>
  </headerFooter>
  <extLst>
    <ext xmlns:x14="http://schemas.microsoft.com/office/spreadsheetml/2009/9/main" uri="{CCE6A557-97BC-4b89-ADB6-D9C93CAAB3DF}">
      <x14:dataValidations xmlns:xm="http://schemas.microsoft.com/office/excel/2006/main" xWindow="533" yWindow="628" count="2">
        <x14:dataValidation type="list" operator="greaterThanOrEqual" xr:uid="{00000000-0002-0000-0E00-000005000000}">
          <x14:formula1>
            <xm:f>Dropdownlisten!$C$4:$C$6</xm:f>
          </x14:formula1>
          <xm:sqref>J8</xm:sqref>
        </x14:dataValidation>
        <x14:dataValidation type="list" operator="greaterThanOrEqual" xr:uid="{00000000-0002-0000-0E00-000006000000}">
          <x14:formula1>
            <xm:f>Dropdownlisten!$E$4:$E$6</xm:f>
          </x14:formula1>
          <xm:sqref>K8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tabColor theme="3" tint="0.59999389629810485"/>
    <pageSetUpPr fitToPage="1"/>
  </sheetPr>
  <dimension ref="B1:M30"/>
  <sheetViews>
    <sheetView showGridLines="0" zoomScale="70" zoomScaleNormal="70" workbookViewId="0">
      <selection activeCell="C4" sqref="C4:D4"/>
    </sheetView>
  </sheetViews>
  <sheetFormatPr baseColWidth="10" defaultColWidth="11" defaultRowHeight="14" x14ac:dyDescent="0.3"/>
  <cols>
    <col min="1" max="1" width="2.08203125" style="13" customWidth="1"/>
    <col min="2" max="2" width="40" style="13" customWidth="1"/>
    <col min="3" max="11" width="15.83203125" style="13" customWidth="1"/>
    <col min="12" max="12" width="2.5" style="13" customWidth="1"/>
    <col min="13" max="13" width="63.58203125" style="13" customWidth="1"/>
    <col min="14" max="14" width="2.08203125" style="13" customWidth="1"/>
    <col min="15" max="16384" width="11" style="13"/>
  </cols>
  <sheetData>
    <row r="1" spans="2:13" s="1" customFormat="1" ht="28" x14ac:dyDescent="0.6">
      <c r="B1" s="492" t="s">
        <v>250</v>
      </c>
      <c r="C1" s="492"/>
      <c r="D1" s="492"/>
      <c r="E1" s="492"/>
      <c r="F1" s="492"/>
      <c r="G1" s="492"/>
      <c r="H1" s="492"/>
      <c r="I1" s="492"/>
      <c r="J1" s="492"/>
      <c r="K1" s="492"/>
    </row>
    <row r="2" spans="2:13" s="1" customFormat="1" x14ac:dyDescent="0.3">
      <c r="B2" s="16"/>
      <c r="C2" s="16"/>
      <c r="D2" s="16"/>
      <c r="E2" s="16"/>
      <c r="F2" s="16"/>
      <c r="G2" s="16"/>
    </row>
    <row r="3" spans="2:13" s="1" customFormat="1" ht="28.5" customHeight="1" x14ac:dyDescent="0.3">
      <c r="B3" s="275" t="s">
        <v>42</v>
      </c>
      <c r="C3" s="508" t="str">
        <f>'Table des matières'!D4</f>
        <v>CH</v>
      </c>
      <c r="D3" s="508"/>
      <c r="E3" s="92"/>
      <c r="F3" s="92"/>
    </row>
    <row r="4" spans="2:13" s="1" customFormat="1" ht="28.5" customHeight="1" x14ac:dyDescent="0.3">
      <c r="B4" s="275" t="s">
        <v>63</v>
      </c>
      <c r="C4" s="472"/>
      <c r="D4" s="472"/>
      <c r="E4" s="92"/>
      <c r="F4" s="92"/>
      <c r="H4" s="93"/>
    </row>
    <row r="5" spans="2:13" ht="14.15" customHeight="1" thickBot="1" x14ac:dyDescent="0.35"/>
    <row r="6" spans="2:13" ht="45" customHeight="1" thickBot="1" x14ac:dyDescent="0.35">
      <c r="B6" s="511"/>
      <c r="C6" s="512"/>
      <c r="D6" s="512"/>
      <c r="E6" s="512"/>
      <c r="F6" s="512"/>
      <c r="G6" s="512"/>
      <c r="H6" s="512"/>
      <c r="I6" s="513"/>
      <c r="J6" s="458" t="s">
        <v>132</v>
      </c>
      <c r="K6" s="459"/>
      <c r="M6" s="66" t="s">
        <v>124</v>
      </c>
    </row>
    <row r="7" spans="2:13" s="16" customFormat="1" ht="45" customHeight="1" thickBot="1" x14ac:dyDescent="0.35">
      <c r="B7" s="154" t="s">
        <v>120</v>
      </c>
      <c r="C7" s="150" t="s">
        <v>0</v>
      </c>
      <c r="D7" s="151" t="s">
        <v>74</v>
      </c>
      <c r="E7" s="151" t="s">
        <v>75</v>
      </c>
      <c r="F7" s="151" t="s">
        <v>154</v>
      </c>
      <c r="G7" s="151" t="s">
        <v>76</v>
      </c>
      <c r="H7" s="152" t="s">
        <v>121</v>
      </c>
      <c r="I7" s="153" t="s">
        <v>122</v>
      </c>
      <c r="J7" s="319" t="s">
        <v>81</v>
      </c>
      <c r="K7" s="319" t="s">
        <v>166</v>
      </c>
      <c r="L7" s="13"/>
      <c r="M7" s="530"/>
    </row>
    <row r="8" spans="2:13" ht="75" customHeight="1" thickBot="1" x14ac:dyDescent="0.35">
      <c r="B8" s="277" t="s">
        <v>211</v>
      </c>
      <c r="C8" s="116">
        <f>SUM(D8:E8,G8)</f>
        <v>0</v>
      </c>
      <c r="D8" s="125"/>
      <c r="E8" s="117"/>
      <c r="F8" s="117"/>
      <c r="G8" s="117"/>
      <c r="H8" s="117"/>
      <c r="I8" s="118"/>
      <c r="J8" s="129" t="s">
        <v>33</v>
      </c>
      <c r="K8" s="128" t="s">
        <v>33</v>
      </c>
      <c r="M8" s="531"/>
    </row>
    <row r="9" spans="2:13" ht="43.5" customHeight="1" x14ac:dyDescent="0.3">
      <c r="B9" s="225" t="s">
        <v>199</v>
      </c>
      <c r="C9" s="226">
        <f>SUM(D9:E9,G9)</f>
        <v>25300</v>
      </c>
      <c r="D9" s="292">
        <f>VLOOKUP($C$3,bestand_ias,33,FALSE)</f>
        <v>13501</v>
      </c>
      <c r="E9" s="293">
        <f>VLOOKUP($C$3,bestand_ias,34,FALSE)</f>
        <v>11799</v>
      </c>
      <c r="F9" s="293">
        <f>VLOOKUP($C$3,bestand_ias,35,FALSE)</f>
        <v>48765</v>
      </c>
      <c r="G9" s="293" t="s">
        <v>35</v>
      </c>
      <c r="H9" s="293">
        <f>VLOOKUP($C$3,bestand_ias,36,FALSE)</f>
        <v>8645</v>
      </c>
      <c r="I9" s="294">
        <f>VLOOKUP($C$3,bestand_ias,37,FALSE)</f>
        <v>16655</v>
      </c>
      <c r="J9" s="548"/>
      <c r="K9" s="549"/>
      <c r="M9" s="531"/>
    </row>
    <row r="10" spans="2:13" ht="43.5" customHeight="1" thickBot="1" x14ac:dyDescent="0.35">
      <c r="B10" s="224" t="s">
        <v>234</v>
      </c>
      <c r="C10" s="222">
        <f>SUM(D10:E10,G10)</f>
        <v>30684</v>
      </c>
      <c r="D10" s="295">
        <f>VLOOKUP($C$3,bestand_alle,28,FALSE)</f>
        <v>17012</v>
      </c>
      <c r="E10" s="296">
        <f>VLOOKUP($C$3,bestand_alle,29,FALSE)</f>
        <v>13672</v>
      </c>
      <c r="F10" s="296">
        <f>VLOOKUP($C$3,bestand_alle,30,FALSE)</f>
        <v>48765</v>
      </c>
      <c r="G10" s="296" t="s">
        <v>35</v>
      </c>
      <c r="H10" s="296">
        <f>VLOOKUP($C$3,bestand_alle,31,FALSE)</f>
        <v>11635</v>
      </c>
      <c r="I10" s="297">
        <f>VLOOKUP($C$3,bestand_alle,32,FALSE)</f>
        <v>19049</v>
      </c>
      <c r="J10" s="550"/>
      <c r="K10" s="551"/>
      <c r="M10" s="531"/>
    </row>
    <row r="11" spans="2:13" ht="14.15" customHeight="1" thickTop="1" x14ac:dyDescent="0.3">
      <c r="B11" s="1" t="s">
        <v>223</v>
      </c>
      <c r="C11" s="171"/>
      <c r="M11" s="531"/>
    </row>
    <row r="12" spans="2:13" ht="14.15" customHeight="1" x14ac:dyDescent="0.3">
      <c r="B12" s="324" t="s">
        <v>222</v>
      </c>
      <c r="C12" s="171"/>
      <c r="M12" s="531"/>
    </row>
    <row r="13" spans="2:13" ht="14.15" customHeight="1" thickBot="1" x14ac:dyDescent="0.35">
      <c r="J13" s="12"/>
      <c r="K13" s="12"/>
      <c r="M13" s="531"/>
    </row>
    <row r="14" spans="2:13" ht="45" customHeight="1" thickBot="1" x14ac:dyDescent="0.35">
      <c r="B14" s="493" t="s">
        <v>123</v>
      </c>
      <c r="C14" s="494"/>
      <c r="D14" s="494"/>
      <c r="E14" s="494"/>
      <c r="F14" s="494"/>
      <c r="G14" s="494"/>
      <c r="H14" s="494"/>
      <c r="I14" s="494"/>
      <c r="J14" s="494"/>
      <c r="K14" s="495"/>
      <c r="L14" s="14"/>
      <c r="M14" s="531"/>
    </row>
    <row r="15" spans="2:13" ht="37.5" customHeight="1" x14ac:dyDescent="0.3">
      <c r="B15" s="162" t="s">
        <v>125</v>
      </c>
      <c r="C15" s="525" t="s">
        <v>212</v>
      </c>
      <c r="D15" s="515"/>
      <c r="E15" s="515"/>
      <c r="F15" s="515"/>
      <c r="G15" s="515"/>
      <c r="H15" s="515"/>
      <c r="I15" s="515"/>
      <c r="J15" s="515"/>
      <c r="K15" s="516"/>
      <c r="L15" s="12"/>
      <c r="M15" s="531"/>
    </row>
    <row r="16" spans="2:13" ht="58" customHeight="1" x14ac:dyDescent="0.3">
      <c r="B16" s="160" t="s">
        <v>67</v>
      </c>
      <c r="C16" s="526" t="s">
        <v>143</v>
      </c>
      <c r="D16" s="517"/>
      <c r="E16" s="517"/>
      <c r="F16" s="517"/>
      <c r="G16" s="517"/>
      <c r="H16" s="517"/>
      <c r="I16" s="517"/>
      <c r="J16" s="517"/>
      <c r="K16" s="518"/>
      <c r="L16" s="12"/>
      <c r="M16" s="531"/>
    </row>
    <row r="17" spans="2:13" ht="50.15" customHeight="1" thickBot="1" x14ac:dyDescent="0.35">
      <c r="B17" s="161" t="s">
        <v>126</v>
      </c>
      <c r="C17" s="533" t="s">
        <v>213</v>
      </c>
      <c r="D17" s="519"/>
      <c r="E17" s="519"/>
      <c r="F17" s="519"/>
      <c r="G17" s="519"/>
      <c r="H17" s="519"/>
      <c r="I17" s="519"/>
      <c r="J17" s="519"/>
      <c r="K17" s="520"/>
      <c r="L17" s="12"/>
      <c r="M17" s="532"/>
    </row>
    <row r="18" spans="2:13" ht="14.15" customHeight="1" x14ac:dyDescent="0.3"/>
    <row r="19" spans="2:13" ht="14.15" customHeight="1" x14ac:dyDescent="0.3"/>
    <row r="20" spans="2:13" ht="14.15" customHeight="1" x14ac:dyDescent="0.3"/>
    <row r="21" spans="2:13" ht="14.15" customHeight="1" x14ac:dyDescent="0.3">
      <c r="C21" s="17"/>
    </row>
    <row r="22" spans="2:13" ht="14.15" customHeight="1" x14ac:dyDescent="0.3"/>
    <row r="23" spans="2:13" ht="14.15" customHeight="1" x14ac:dyDescent="0.3"/>
    <row r="24" spans="2:13" ht="14.15" customHeight="1" x14ac:dyDescent="0.3"/>
    <row r="25" spans="2:13" ht="14.15" customHeight="1" x14ac:dyDescent="0.3"/>
    <row r="26" spans="2:13" ht="14.15" customHeight="1" x14ac:dyDescent="0.3"/>
    <row r="27" spans="2:13" ht="14.15" customHeight="1" x14ac:dyDescent="0.3"/>
    <row r="28" spans="2:13" ht="14.15" customHeight="1" x14ac:dyDescent="0.3"/>
    <row r="29" spans="2:13" ht="14.15" customHeight="1" x14ac:dyDescent="0.3"/>
    <row r="30" spans="2:13" ht="14.15" customHeight="1" x14ac:dyDescent="0.3"/>
  </sheetData>
  <sheetProtection algorithmName="SHA-512" hashValue="7GwJ6KgDKY83SX3EjZ+kl6FtWA+z4IKqW5HFcXEOPMAVNzJRPebxM4K0Zr0QiuIunLpO8gxALq0EZ9VjbLping==" saltValue="DHhbbIQN1uIkY0vM13jnug==" spinCount="100000" sheet="1" selectLockedCells="1"/>
  <protectedRanges>
    <protectedRange password="CAA2" sqref="C8" name="Summe"/>
    <protectedRange password="CAA2" sqref="C9:C10" name="Summe_1"/>
  </protectedRanges>
  <customSheetViews>
    <customSheetView guid="{168849A9-FED9-4458-942F-290616B3A25C}" scale="50" showGridLines="0" fitToPage="1">
      <selection activeCell="C15" sqref="C15:J15"/>
      <pageMargins left="0.70866141732283472" right="0.70866141732283472" top="1.1811023622047245" bottom="0.78740157480314965" header="0.31496062992125984" footer="0.31496062992125984"/>
      <pageSetup paperSize="8" scale="77" fitToHeight="0" orientation="landscape" cellComments="atEnd" r:id="rId1"/>
      <headerFooter>
        <oddHeader>&amp;LKennzahlenraster KIP / IAS&amp;R&amp;G</oddHeader>
        <oddFooter>&amp;L&amp;A: Zusammenleben&amp;R&amp;P</oddFooter>
      </headerFooter>
    </customSheetView>
  </customSheetViews>
  <mergeCells count="11">
    <mergeCell ref="J9:K10"/>
    <mergeCell ref="M7:M17"/>
    <mergeCell ref="B14:K14"/>
    <mergeCell ref="C15:K15"/>
    <mergeCell ref="C16:K16"/>
    <mergeCell ref="C17:K17"/>
    <mergeCell ref="C3:D3"/>
    <mergeCell ref="C4:D4"/>
    <mergeCell ref="J6:K6"/>
    <mergeCell ref="B6:I6"/>
    <mergeCell ref="B1:K1"/>
  </mergeCells>
  <dataValidations count="4">
    <dataValidation type="whole" operator="greaterThanOrEqual" allowBlank="1" showErrorMessage="1" errorTitle="Fehler" error="Gültig sind nur positive, ganze Zahlen (0, 200, etc.). Kein Text" promptTitle="Ganze Zahlen" prompt="Nur ganzzahlige Werte (0, 1, 200 etc.)" sqref="D8:I8" xr:uid="{00000000-0002-0000-0F00-000000000000}">
      <formula1>0</formula1>
    </dataValidation>
    <dataValidation type="date" allowBlank="1" showInputMessage="1" showErrorMessage="1" error="Veuillez saisir une date de saisie comprise entre le 01.01.2024 et le 31.12.2024." promptTitle="Date de la saisie" prompt="Veuillez saisir la date de la saisie des données" sqref="C4:D4" xr:uid="{00000000-0002-0000-0F00-000001000000}">
      <formula1>45292</formula1>
      <formula2>45657</formula2>
    </dataValidation>
    <dataValidation operator="greaterThanOrEqual" allowBlank="1" sqref="J7:K7" xr:uid="{00000000-0002-0000-0F00-000002000000}"/>
    <dataValidation allowBlank="1" sqref="C9:I10" xr:uid="{6D7AB355-A3A6-47DB-9137-9821A006E2D8}"/>
  </dataValidations>
  <pageMargins left="0.70866141732283472" right="0.70866141732283472" top="1.1811023622047245" bottom="0.78740157480314965" header="0.31496062992125984" footer="0.31496062992125984"/>
  <pageSetup paperSize="8" scale="75" fitToHeight="0" orientation="landscape" cellComments="atEnd" r:id="rId2"/>
  <headerFooter>
    <oddFooter>&amp;L&amp;A: Zusammenleben&amp;R&amp;P</oddFooter>
  </headerFooter>
  <extLst>
    <ext xmlns:x14="http://schemas.microsoft.com/office/spreadsheetml/2009/9/main" uri="{CCE6A557-97BC-4b89-ADB6-D9C93CAAB3DF}">
      <x14:dataValidations xmlns:xm="http://schemas.microsoft.com/office/excel/2006/main" count="2">
        <x14:dataValidation type="list" operator="greaterThanOrEqual" xr:uid="{00000000-0002-0000-0F00-000004000000}">
          <x14:formula1>
            <xm:f>Dropdownlisten!$C$4:$C$6</xm:f>
          </x14:formula1>
          <xm:sqref>J8</xm:sqref>
        </x14:dataValidation>
        <x14:dataValidation type="list" operator="greaterThanOrEqual" xr:uid="{00000000-0002-0000-0F00-000005000000}">
          <x14:formula1>
            <xm:f>Dropdownlisten!$E$4:$E$6</xm:f>
          </x14:formula1>
          <xm:sqref>K8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tabColor theme="7" tint="0.59999389629810485"/>
  </sheetPr>
  <dimension ref="A1:AK52"/>
  <sheetViews>
    <sheetView showGridLines="0" zoomScale="70" zoomScaleNormal="70" workbookViewId="0">
      <selection activeCell="B4" sqref="B4"/>
    </sheetView>
  </sheetViews>
  <sheetFormatPr baseColWidth="10" defaultRowHeight="14" x14ac:dyDescent="0.3"/>
  <cols>
    <col min="3" max="14" width="13.08203125" customWidth="1"/>
    <col min="15" max="15" width="13.08203125" hidden="1" customWidth="1"/>
    <col min="16" max="37" width="13.08203125" customWidth="1"/>
  </cols>
  <sheetData>
    <row r="1" spans="1:37" ht="30" x14ac:dyDescent="0.3">
      <c r="A1" s="561" t="s">
        <v>172</v>
      </c>
      <c r="B1" s="561"/>
      <c r="C1" s="561"/>
      <c r="D1" s="561"/>
      <c r="E1" s="561"/>
      <c r="F1" s="561"/>
      <c r="G1" s="561"/>
      <c r="H1" s="561"/>
      <c r="I1" s="561"/>
      <c r="J1" s="561"/>
      <c r="K1" s="561"/>
      <c r="L1" s="561"/>
      <c r="M1" s="561"/>
      <c r="N1" s="561"/>
      <c r="O1" s="561"/>
      <c r="P1" s="561"/>
      <c r="Q1" s="561"/>
    </row>
    <row r="3" spans="1:37" ht="20.149999999999999" customHeight="1" x14ac:dyDescent="0.3">
      <c r="A3" s="558" t="s">
        <v>251</v>
      </c>
      <c r="B3" s="559"/>
      <c r="C3" s="559"/>
      <c r="D3" s="559"/>
      <c r="E3" s="559"/>
      <c r="F3" s="559"/>
      <c r="G3" s="559"/>
      <c r="H3" s="559"/>
      <c r="I3" s="559"/>
      <c r="J3" s="559"/>
      <c r="K3" s="559"/>
      <c r="L3" s="559"/>
      <c r="M3" s="559"/>
      <c r="N3" s="559"/>
      <c r="O3" s="559"/>
      <c r="P3" s="559"/>
      <c r="Q3" s="560"/>
    </row>
    <row r="4" spans="1:37" ht="14.5" thickBot="1" x14ac:dyDescent="0.35">
      <c r="A4" s="137"/>
      <c r="B4" s="137"/>
    </row>
    <row r="5" spans="1:37" ht="14.5" thickBot="1" x14ac:dyDescent="0.35">
      <c r="A5" s="562" t="s">
        <v>144</v>
      </c>
      <c r="B5" s="562" t="s">
        <v>170</v>
      </c>
      <c r="C5" s="555" t="s">
        <v>145</v>
      </c>
      <c r="D5" s="556"/>
      <c r="E5" s="556"/>
      <c r="F5" s="556"/>
      <c r="G5" s="557"/>
      <c r="H5" s="555" t="s">
        <v>146</v>
      </c>
      <c r="I5" s="556"/>
      <c r="J5" s="556"/>
      <c r="K5" s="556"/>
      <c r="L5" s="557"/>
      <c r="M5" s="555" t="s">
        <v>147</v>
      </c>
      <c r="N5" s="556"/>
      <c r="O5" s="556"/>
      <c r="P5" s="556"/>
      <c r="Q5" s="557"/>
      <c r="R5" s="555" t="s">
        <v>148</v>
      </c>
      <c r="S5" s="556"/>
      <c r="T5" s="556"/>
      <c r="U5" s="556"/>
      <c r="V5" s="557"/>
      <c r="W5" s="555" t="s">
        <v>151</v>
      </c>
      <c r="X5" s="556"/>
      <c r="Y5" s="556"/>
      <c r="Z5" s="556"/>
      <c r="AA5" s="557"/>
      <c r="AB5" s="555" t="s">
        <v>152</v>
      </c>
      <c r="AC5" s="556"/>
      <c r="AD5" s="556"/>
      <c r="AE5" s="556"/>
      <c r="AF5" s="557"/>
      <c r="AG5" s="555" t="s">
        <v>153</v>
      </c>
      <c r="AH5" s="556"/>
      <c r="AI5" s="556"/>
      <c r="AJ5" s="556"/>
      <c r="AK5" s="557"/>
    </row>
    <row r="6" spans="1:37" ht="59.15" customHeight="1" x14ac:dyDescent="0.3">
      <c r="A6" s="563"/>
      <c r="B6" s="563"/>
      <c r="C6" s="552" t="s">
        <v>214</v>
      </c>
      <c r="D6" s="553"/>
      <c r="E6" s="553"/>
      <c r="F6" s="553"/>
      <c r="G6" s="554"/>
      <c r="H6" s="552" t="s">
        <v>215</v>
      </c>
      <c r="I6" s="553"/>
      <c r="J6" s="553"/>
      <c r="K6" s="553"/>
      <c r="L6" s="554"/>
      <c r="M6" s="552" t="s">
        <v>216</v>
      </c>
      <c r="N6" s="553"/>
      <c r="O6" s="553"/>
      <c r="P6" s="553"/>
      <c r="Q6" s="554"/>
      <c r="R6" s="552" t="s">
        <v>217</v>
      </c>
      <c r="S6" s="553"/>
      <c r="T6" s="553"/>
      <c r="U6" s="553"/>
      <c r="V6" s="554"/>
      <c r="W6" s="552" t="s">
        <v>218</v>
      </c>
      <c r="X6" s="553"/>
      <c r="Y6" s="553"/>
      <c r="Z6" s="553"/>
      <c r="AA6" s="554"/>
      <c r="AB6" s="552" t="s">
        <v>219</v>
      </c>
      <c r="AC6" s="553"/>
      <c r="AD6" s="553"/>
      <c r="AE6" s="553"/>
      <c r="AF6" s="554"/>
      <c r="AG6" s="552" t="s">
        <v>220</v>
      </c>
      <c r="AH6" s="553"/>
      <c r="AI6" s="553"/>
      <c r="AJ6" s="553"/>
      <c r="AK6" s="554"/>
    </row>
    <row r="7" spans="1:37" ht="14.15" customHeight="1" thickBot="1" x14ac:dyDescent="0.35">
      <c r="A7" s="564"/>
      <c r="B7" s="564"/>
      <c r="C7" s="283" t="s">
        <v>149</v>
      </c>
      <c r="D7" s="173" t="s">
        <v>150</v>
      </c>
      <c r="E7" s="173" t="s">
        <v>155</v>
      </c>
      <c r="F7" s="173" t="s">
        <v>121</v>
      </c>
      <c r="G7" s="173" t="s">
        <v>122</v>
      </c>
      <c r="H7" s="174" t="s">
        <v>149</v>
      </c>
      <c r="I7" s="173" t="s">
        <v>150</v>
      </c>
      <c r="J7" s="173" t="s">
        <v>155</v>
      </c>
      <c r="K7" s="173" t="s">
        <v>121</v>
      </c>
      <c r="L7" s="175" t="s">
        <v>122</v>
      </c>
      <c r="M7" s="174" t="s">
        <v>149</v>
      </c>
      <c r="N7" s="173" t="s">
        <v>150</v>
      </c>
      <c r="O7" s="173" t="s">
        <v>155</v>
      </c>
      <c r="P7" s="173" t="s">
        <v>121</v>
      </c>
      <c r="Q7" s="175" t="s">
        <v>122</v>
      </c>
      <c r="R7" s="174" t="s">
        <v>149</v>
      </c>
      <c r="S7" s="173" t="s">
        <v>150</v>
      </c>
      <c r="T7" s="173" t="s">
        <v>155</v>
      </c>
      <c r="U7" s="173" t="s">
        <v>121</v>
      </c>
      <c r="V7" s="175" t="s">
        <v>122</v>
      </c>
      <c r="W7" s="174" t="s">
        <v>149</v>
      </c>
      <c r="X7" s="173" t="s">
        <v>150</v>
      </c>
      <c r="Y7" s="173" t="s">
        <v>155</v>
      </c>
      <c r="Z7" s="173" t="s">
        <v>121</v>
      </c>
      <c r="AA7" s="175" t="s">
        <v>122</v>
      </c>
      <c r="AB7" s="174" t="s">
        <v>149</v>
      </c>
      <c r="AC7" s="173" t="s">
        <v>150</v>
      </c>
      <c r="AD7" s="173" t="s">
        <v>155</v>
      </c>
      <c r="AE7" s="173" t="s">
        <v>121</v>
      </c>
      <c r="AF7" s="175" t="s">
        <v>122</v>
      </c>
      <c r="AG7" s="174" t="s">
        <v>149</v>
      </c>
      <c r="AH7" s="173" t="s">
        <v>150</v>
      </c>
      <c r="AI7" s="173" t="s">
        <v>155</v>
      </c>
      <c r="AJ7" s="173" t="s">
        <v>121</v>
      </c>
      <c r="AK7" s="175" t="s">
        <v>122</v>
      </c>
    </row>
    <row r="8" spans="1:37" ht="14.15" customHeight="1" x14ac:dyDescent="0.3">
      <c r="A8" s="181" t="s">
        <v>36</v>
      </c>
      <c r="B8" s="178">
        <v>45291</v>
      </c>
      <c r="C8" s="325">
        <v>2995</v>
      </c>
      <c r="D8" s="326">
        <v>4409</v>
      </c>
      <c r="E8" s="180">
        <v>9461</v>
      </c>
      <c r="F8" s="180">
        <v>1882</v>
      </c>
      <c r="G8" s="180">
        <v>5522</v>
      </c>
      <c r="H8" s="179">
        <v>12342</v>
      </c>
      <c r="I8" s="179">
        <v>10365</v>
      </c>
      <c r="J8" s="180">
        <v>46986</v>
      </c>
      <c r="K8" s="326">
        <v>7941</v>
      </c>
      <c r="L8" s="326">
        <v>14766</v>
      </c>
      <c r="M8" s="180">
        <v>1537</v>
      </c>
      <c r="N8" s="180">
        <v>964</v>
      </c>
      <c r="O8" s="179"/>
      <c r="P8" s="179">
        <v>1040</v>
      </c>
      <c r="Q8" s="179">
        <v>1461</v>
      </c>
      <c r="R8" s="179">
        <v>5885</v>
      </c>
      <c r="S8" s="179">
        <v>1642</v>
      </c>
      <c r="T8" s="179">
        <v>2682</v>
      </c>
      <c r="U8" s="179">
        <v>3673</v>
      </c>
      <c r="V8" s="179">
        <v>3854</v>
      </c>
      <c r="W8" s="325">
        <v>2171</v>
      </c>
      <c r="X8" s="325">
        <v>6748</v>
      </c>
      <c r="Y8" s="179">
        <v>7176</v>
      </c>
      <c r="Z8" s="179">
        <v>1424</v>
      </c>
      <c r="AA8" s="179">
        <v>7495</v>
      </c>
      <c r="AB8" s="179">
        <v>9792</v>
      </c>
      <c r="AC8" s="179">
        <v>3295</v>
      </c>
      <c r="AD8" s="179">
        <v>28471</v>
      </c>
      <c r="AE8" s="179">
        <v>6174</v>
      </c>
      <c r="AF8" s="179">
        <v>6913</v>
      </c>
      <c r="AG8" s="179">
        <v>13501</v>
      </c>
      <c r="AH8" s="179">
        <v>11799</v>
      </c>
      <c r="AI8" s="179">
        <v>48765</v>
      </c>
      <c r="AJ8" s="179">
        <v>8645</v>
      </c>
      <c r="AK8" s="363">
        <v>16655</v>
      </c>
    </row>
    <row r="9" spans="1:37" ht="14.15" customHeight="1" x14ac:dyDescent="0.3">
      <c r="A9" s="176" t="s">
        <v>7</v>
      </c>
      <c r="B9" s="307">
        <v>45291</v>
      </c>
      <c r="C9" s="257">
        <v>243</v>
      </c>
      <c r="D9" s="259">
        <v>358</v>
      </c>
      <c r="E9" s="131">
        <v>707</v>
      </c>
      <c r="F9" s="131">
        <v>162</v>
      </c>
      <c r="G9" s="132">
        <v>439</v>
      </c>
      <c r="H9" s="257">
        <v>1177</v>
      </c>
      <c r="I9" s="259">
        <v>873</v>
      </c>
      <c r="J9" s="259">
        <v>3512</v>
      </c>
      <c r="K9" s="259">
        <v>696</v>
      </c>
      <c r="L9" s="260">
        <v>1354</v>
      </c>
      <c r="M9" s="130">
        <v>161</v>
      </c>
      <c r="N9" s="131">
        <v>77</v>
      </c>
      <c r="O9" s="131"/>
      <c r="P9" s="131">
        <v>91</v>
      </c>
      <c r="Q9" s="131">
        <v>147</v>
      </c>
      <c r="R9" s="257">
        <v>454</v>
      </c>
      <c r="S9" s="259">
        <v>72</v>
      </c>
      <c r="T9" s="131">
        <v>193</v>
      </c>
      <c r="U9" s="259">
        <v>270</v>
      </c>
      <c r="V9" s="260">
        <v>256</v>
      </c>
      <c r="W9" s="257">
        <v>189</v>
      </c>
      <c r="X9" s="259">
        <v>586</v>
      </c>
      <c r="Y9" s="131">
        <v>525</v>
      </c>
      <c r="Z9" s="131">
        <v>128</v>
      </c>
      <c r="AA9" s="132">
        <v>647</v>
      </c>
      <c r="AB9" s="257">
        <v>946</v>
      </c>
      <c r="AC9" s="259">
        <v>265</v>
      </c>
      <c r="AD9" s="131">
        <v>2210</v>
      </c>
      <c r="AE9" s="259">
        <v>546</v>
      </c>
      <c r="AF9" s="260">
        <v>665</v>
      </c>
      <c r="AG9" s="257">
        <v>1300</v>
      </c>
      <c r="AH9" s="259">
        <v>1005</v>
      </c>
      <c r="AI9" s="259">
        <v>3640</v>
      </c>
      <c r="AJ9" s="259">
        <v>779</v>
      </c>
      <c r="AK9" s="260">
        <v>1526</v>
      </c>
    </row>
    <row r="10" spans="1:37" ht="14.15" customHeight="1" x14ac:dyDescent="0.3">
      <c r="A10" s="136" t="s">
        <v>6</v>
      </c>
      <c r="B10" s="307">
        <v>45291</v>
      </c>
      <c r="C10" s="258">
        <v>13</v>
      </c>
      <c r="D10" s="259">
        <v>10</v>
      </c>
      <c r="E10" s="131">
        <v>15</v>
      </c>
      <c r="F10" s="131">
        <v>7</v>
      </c>
      <c r="G10" s="132">
        <v>16</v>
      </c>
      <c r="H10" s="258">
        <v>44</v>
      </c>
      <c r="I10" s="259">
        <v>28</v>
      </c>
      <c r="J10" s="259">
        <v>93</v>
      </c>
      <c r="K10" s="259">
        <v>25</v>
      </c>
      <c r="L10" s="260">
        <v>47</v>
      </c>
      <c r="M10" s="133">
        <v>6</v>
      </c>
      <c r="N10" s="134">
        <v>5</v>
      </c>
      <c r="O10" s="131"/>
      <c r="P10" s="131">
        <v>4</v>
      </c>
      <c r="Q10" s="131">
        <v>7</v>
      </c>
      <c r="R10" s="258">
        <v>12</v>
      </c>
      <c r="S10" s="261">
        <v>1</v>
      </c>
      <c r="T10" s="131">
        <v>3</v>
      </c>
      <c r="U10" s="259">
        <v>7</v>
      </c>
      <c r="V10" s="260">
        <v>6</v>
      </c>
      <c r="W10" s="258">
        <v>11</v>
      </c>
      <c r="X10" s="261">
        <v>18</v>
      </c>
      <c r="Y10" s="131">
        <v>13</v>
      </c>
      <c r="Z10" s="131">
        <v>4</v>
      </c>
      <c r="AA10" s="132">
        <v>25</v>
      </c>
      <c r="AB10" s="258">
        <v>33</v>
      </c>
      <c r="AC10" s="261">
        <v>9</v>
      </c>
      <c r="AD10" s="134">
        <v>63</v>
      </c>
      <c r="AE10" s="259">
        <v>20</v>
      </c>
      <c r="AF10" s="260">
        <v>22</v>
      </c>
      <c r="AG10" s="258">
        <v>46</v>
      </c>
      <c r="AH10" s="261">
        <v>30</v>
      </c>
      <c r="AI10" s="259">
        <v>97</v>
      </c>
      <c r="AJ10" s="259">
        <v>26</v>
      </c>
      <c r="AK10" s="260">
        <v>50</v>
      </c>
    </row>
    <row r="11" spans="1:37" ht="14.15" customHeight="1" x14ac:dyDescent="0.3">
      <c r="A11" s="136" t="s">
        <v>5</v>
      </c>
      <c r="B11" s="307">
        <v>45291</v>
      </c>
      <c r="C11" s="258">
        <v>18</v>
      </c>
      <c r="D11" s="259">
        <v>39</v>
      </c>
      <c r="E11" s="131">
        <v>20</v>
      </c>
      <c r="F11" s="131">
        <v>15</v>
      </c>
      <c r="G11" s="132">
        <v>42</v>
      </c>
      <c r="H11" s="258">
        <v>103</v>
      </c>
      <c r="I11" s="259">
        <v>92</v>
      </c>
      <c r="J11" s="259">
        <v>256</v>
      </c>
      <c r="K11" s="259">
        <v>71</v>
      </c>
      <c r="L11" s="260">
        <v>124</v>
      </c>
      <c r="M11" s="133">
        <v>16</v>
      </c>
      <c r="N11" s="134">
        <v>4</v>
      </c>
      <c r="O11" s="131"/>
      <c r="P11" s="131">
        <v>10</v>
      </c>
      <c r="Q11" s="131">
        <v>10</v>
      </c>
      <c r="R11" s="258">
        <v>44</v>
      </c>
      <c r="S11" s="261">
        <v>9</v>
      </c>
      <c r="T11" s="131">
        <v>17</v>
      </c>
      <c r="U11" s="259">
        <v>29</v>
      </c>
      <c r="V11" s="260">
        <v>24</v>
      </c>
      <c r="W11" s="258">
        <v>13</v>
      </c>
      <c r="X11" s="261">
        <v>55</v>
      </c>
      <c r="Y11" s="131">
        <v>34</v>
      </c>
      <c r="Z11" s="131">
        <v>14</v>
      </c>
      <c r="AA11" s="132">
        <v>54</v>
      </c>
      <c r="AB11" s="258">
        <v>88</v>
      </c>
      <c r="AC11" s="261">
        <v>33</v>
      </c>
      <c r="AD11" s="134">
        <v>153</v>
      </c>
      <c r="AE11" s="259">
        <v>55</v>
      </c>
      <c r="AF11" s="260">
        <v>66</v>
      </c>
      <c r="AG11" s="258">
        <v>110</v>
      </c>
      <c r="AH11" s="261">
        <v>99</v>
      </c>
      <c r="AI11" s="259">
        <v>276</v>
      </c>
      <c r="AJ11" s="259">
        <v>73</v>
      </c>
      <c r="AK11" s="260">
        <v>136</v>
      </c>
    </row>
    <row r="12" spans="1:37" ht="14.15" customHeight="1" x14ac:dyDescent="0.3">
      <c r="A12" s="136" t="s">
        <v>8</v>
      </c>
      <c r="B12" s="307">
        <v>45291</v>
      </c>
      <c r="C12" s="258">
        <v>359</v>
      </c>
      <c r="D12" s="259">
        <v>526</v>
      </c>
      <c r="E12" s="131">
        <v>1166</v>
      </c>
      <c r="F12" s="131">
        <v>231</v>
      </c>
      <c r="G12" s="132">
        <v>654</v>
      </c>
      <c r="H12" s="258">
        <v>1551</v>
      </c>
      <c r="I12" s="259">
        <v>1295</v>
      </c>
      <c r="J12" s="259">
        <v>5612</v>
      </c>
      <c r="K12" s="259">
        <v>1018</v>
      </c>
      <c r="L12" s="260">
        <v>1828</v>
      </c>
      <c r="M12" s="133">
        <v>180</v>
      </c>
      <c r="N12" s="134">
        <v>102</v>
      </c>
      <c r="O12" s="131"/>
      <c r="P12" s="131">
        <v>123</v>
      </c>
      <c r="Q12" s="131">
        <v>159</v>
      </c>
      <c r="R12" s="258">
        <v>852</v>
      </c>
      <c r="S12" s="261">
        <v>265</v>
      </c>
      <c r="T12" s="131">
        <v>310</v>
      </c>
      <c r="U12" s="259">
        <v>544</v>
      </c>
      <c r="V12" s="260">
        <v>573</v>
      </c>
      <c r="W12" s="258">
        <v>241</v>
      </c>
      <c r="X12" s="261">
        <v>835</v>
      </c>
      <c r="Y12" s="131">
        <v>864</v>
      </c>
      <c r="Z12" s="131">
        <v>170</v>
      </c>
      <c r="AA12" s="132">
        <v>906</v>
      </c>
      <c r="AB12" s="258">
        <v>1263</v>
      </c>
      <c r="AC12" s="261">
        <v>420</v>
      </c>
      <c r="AD12" s="134">
        <v>3393</v>
      </c>
      <c r="AE12" s="259">
        <v>802</v>
      </c>
      <c r="AF12" s="260">
        <v>881</v>
      </c>
      <c r="AG12" s="258">
        <v>1698</v>
      </c>
      <c r="AH12" s="261">
        <v>1488</v>
      </c>
      <c r="AI12" s="259">
        <v>5859</v>
      </c>
      <c r="AJ12" s="259">
        <v>1114</v>
      </c>
      <c r="AK12" s="260">
        <v>2072</v>
      </c>
    </row>
    <row r="13" spans="1:37" ht="14.15" customHeight="1" x14ac:dyDescent="0.3">
      <c r="A13" s="136" t="s">
        <v>9</v>
      </c>
      <c r="B13" s="307">
        <v>45291</v>
      </c>
      <c r="C13" s="258">
        <v>60</v>
      </c>
      <c r="D13" s="259">
        <v>134</v>
      </c>
      <c r="E13" s="131">
        <v>349</v>
      </c>
      <c r="F13" s="131">
        <v>47</v>
      </c>
      <c r="G13" s="132">
        <v>147</v>
      </c>
      <c r="H13" s="258">
        <v>283</v>
      </c>
      <c r="I13" s="259">
        <v>310</v>
      </c>
      <c r="J13" s="259">
        <v>1684</v>
      </c>
      <c r="K13" s="259">
        <v>206</v>
      </c>
      <c r="L13" s="260">
        <v>387</v>
      </c>
      <c r="M13" s="133">
        <v>33</v>
      </c>
      <c r="N13" s="134">
        <v>27</v>
      </c>
      <c r="O13" s="131"/>
      <c r="P13" s="131">
        <v>24</v>
      </c>
      <c r="Q13" s="131">
        <v>36</v>
      </c>
      <c r="R13" s="258">
        <v>141</v>
      </c>
      <c r="S13" s="261">
        <v>51</v>
      </c>
      <c r="T13" s="131">
        <v>115</v>
      </c>
      <c r="U13" s="259">
        <v>101</v>
      </c>
      <c r="V13" s="260">
        <v>91</v>
      </c>
      <c r="W13" s="258">
        <v>70</v>
      </c>
      <c r="X13" s="261">
        <v>212</v>
      </c>
      <c r="Y13" s="131">
        <v>227</v>
      </c>
      <c r="Z13" s="131">
        <v>44</v>
      </c>
      <c r="AA13" s="132">
        <v>238</v>
      </c>
      <c r="AB13" s="258">
        <v>205</v>
      </c>
      <c r="AC13" s="261">
        <v>90</v>
      </c>
      <c r="AD13" s="134">
        <v>1031</v>
      </c>
      <c r="AE13" s="259">
        <v>154</v>
      </c>
      <c r="AF13" s="260">
        <v>141</v>
      </c>
      <c r="AG13" s="258">
        <v>315</v>
      </c>
      <c r="AH13" s="261">
        <v>357</v>
      </c>
      <c r="AI13" s="259">
        <v>1751</v>
      </c>
      <c r="AJ13" s="259">
        <v>225</v>
      </c>
      <c r="AK13" s="260">
        <v>447</v>
      </c>
    </row>
    <row r="14" spans="1:37" ht="14.15" customHeight="1" x14ac:dyDescent="0.3">
      <c r="A14" s="136" t="s">
        <v>10</v>
      </c>
      <c r="B14" s="307">
        <v>45291</v>
      </c>
      <c r="C14" s="258">
        <v>65</v>
      </c>
      <c r="D14" s="259">
        <v>80</v>
      </c>
      <c r="E14" s="131">
        <v>179</v>
      </c>
      <c r="F14" s="131">
        <v>40</v>
      </c>
      <c r="G14" s="132">
        <v>105</v>
      </c>
      <c r="H14" s="258">
        <v>274</v>
      </c>
      <c r="I14" s="259">
        <v>207</v>
      </c>
      <c r="J14" s="259">
        <v>1238</v>
      </c>
      <c r="K14" s="259">
        <v>187</v>
      </c>
      <c r="L14" s="260">
        <v>294</v>
      </c>
      <c r="M14" s="133">
        <v>32</v>
      </c>
      <c r="N14" s="134">
        <v>23</v>
      </c>
      <c r="O14" s="131"/>
      <c r="P14" s="131">
        <v>20</v>
      </c>
      <c r="Q14" s="131">
        <v>35</v>
      </c>
      <c r="R14" s="258">
        <v>109</v>
      </c>
      <c r="S14" s="261">
        <v>39</v>
      </c>
      <c r="T14" s="131">
        <v>51</v>
      </c>
      <c r="U14" s="259">
        <v>76</v>
      </c>
      <c r="V14" s="260">
        <v>72</v>
      </c>
      <c r="W14" s="258">
        <v>61</v>
      </c>
      <c r="X14" s="261">
        <v>116</v>
      </c>
      <c r="Y14" s="131">
        <v>199</v>
      </c>
      <c r="Z14" s="131">
        <v>34</v>
      </c>
      <c r="AA14" s="132">
        <v>143</v>
      </c>
      <c r="AB14" s="258">
        <v>196</v>
      </c>
      <c r="AC14" s="261">
        <v>74</v>
      </c>
      <c r="AD14" s="131">
        <v>721</v>
      </c>
      <c r="AE14" s="259">
        <v>135</v>
      </c>
      <c r="AF14" s="260">
        <v>135</v>
      </c>
      <c r="AG14" s="258">
        <v>297</v>
      </c>
      <c r="AH14" s="261">
        <v>248</v>
      </c>
      <c r="AI14" s="259">
        <v>1278</v>
      </c>
      <c r="AJ14" s="259">
        <v>201</v>
      </c>
      <c r="AK14" s="260">
        <v>344</v>
      </c>
    </row>
    <row r="15" spans="1:37" ht="14.15" customHeight="1" x14ac:dyDescent="0.3">
      <c r="A15" s="136" t="s">
        <v>11</v>
      </c>
      <c r="B15" s="307">
        <v>45291</v>
      </c>
      <c r="C15" s="258">
        <v>94</v>
      </c>
      <c r="D15" s="259">
        <v>156</v>
      </c>
      <c r="E15" s="131">
        <v>352</v>
      </c>
      <c r="F15" s="131">
        <v>53</v>
      </c>
      <c r="G15" s="132">
        <v>197</v>
      </c>
      <c r="H15" s="258">
        <v>367</v>
      </c>
      <c r="I15" s="259">
        <v>365</v>
      </c>
      <c r="J15" s="259">
        <v>1756</v>
      </c>
      <c r="K15" s="259">
        <v>242</v>
      </c>
      <c r="L15" s="260">
        <v>490</v>
      </c>
      <c r="M15" s="133">
        <v>45</v>
      </c>
      <c r="N15" s="134">
        <v>35</v>
      </c>
      <c r="O15" s="131"/>
      <c r="P15" s="131">
        <v>34</v>
      </c>
      <c r="Q15" s="131">
        <v>46</v>
      </c>
      <c r="R15" s="258">
        <v>248</v>
      </c>
      <c r="S15" s="261">
        <v>46</v>
      </c>
      <c r="T15" s="131">
        <v>97</v>
      </c>
      <c r="U15" s="259">
        <v>149</v>
      </c>
      <c r="V15" s="260">
        <v>145</v>
      </c>
      <c r="W15" s="258">
        <v>74</v>
      </c>
      <c r="X15" s="261">
        <v>241</v>
      </c>
      <c r="Y15" s="131">
        <v>310</v>
      </c>
      <c r="Z15" s="131">
        <v>43</v>
      </c>
      <c r="AA15" s="132">
        <v>272</v>
      </c>
      <c r="AB15" s="258">
        <v>280</v>
      </c>
      <c r="AC15" s="261">
        <v>112</v>
      </c>
      <c r="AD15" s="131">
        <v>1019</v>
      </c>
      <c r="AE15" s="259">
        <v>188</v>
      </c>
      <c r="AF15" s="260">
        <v>204</v>
      </c>
      <c r="AG15" s="258">
        <v>412</v>
      </c>
      <c r="AH15" s="261">
        <v>418</v>
      </c>
      <c r="AI15" s="259">
        <v>1838</v>
      </c>
      <c r="AJ15" s="259">
        <v>267</v>
      </c>
      <c r="AK15" s="260">
        <v>563</v>
      </c>
    </row>
    <row r="16" spans="1:37" ht="14.15" customHeight="1" x14ac:dyDescent="0.3">
      <c r="A16" s="136" t="s">
        <v>12</v>
      </c>
      <c r="B16" s="307">
        <v>45291</v>
      </c>
      <c r="C16" s="258">
        <v>244</v>
      </c>
      <c r="D16" s="259">
        <v>247</v>
      </c>
      <c r="E16" s="131">
        <v>626</v>
      </c>
      <c r="F16" s="131">
        <v>140</v>
      </c>
      <c r="G16" s="132">
        <v>351</v>
      </c>
      <c r="H16" s="258">
        <v>915</v>
      </c>
      <c r="I16" s="259">
        <v>604</v>
      </c>
      <c r="J16" s="259">
        <v>3139</v>
      </c>
      <c r="K16" s="259">
        <v>569</v>
      </c>
      <c r="L16" s="260">
        <v>950</v>
      </c>
      <c r="M16" s="133">
        <v>119</v>
      </c>
      <c r="N16" s="134">
        <v>67</v>
      </c>
      <c r="O16" s="131"/>
      <c r="P16" s="131">
        <v>79</v>
      </c>
      <c r="Q16" s="131">
        <v>107</v>
      </c>
      <c r="R16" s="258">
        <v>414</v>
      </c>
      <c r="S16" s="261">
        <v>136</v>
      </c>
      <c r="T16" s="131">
        <v>180</v>
      </c>
      <c r="U16" s="259">
        <v>264</v>
      </c>
      <c r="V16" s="260">
        <v>286</v>
      </c>
      <c r="W16" s="258">
        <v>158</v>
      </c>
      <c r="X16" s="261">
        <v>351</v>
      </c>
      <c r="Y16" s="131">
        <v>415</v>
      </c>
      <c r="Z16" s="131">
        <v>95</v>
      </c>
      <c r="AA16" s="132">
        <v>414</v>
      </c>
      <c r="AB16" s="258">
        <v>725</v>
      </c>
      <c r="AC16" s="261">
        <v>229</v>
      </c>
      <c r="AD16" s="131">
        <v>1862</v>
      </c>
      <c r="AE16" s="259">
        <v>444</v>
      </c>
      <c r="AF16" s="260">
        <v>510</v>
      </c>
      <c r="AG16" s="258">
        <v>987</v>
      </c>
      <c r="AH16" s="261">
        <v>693</v>
      </c>
      <c r="AI16" s="259">
        <v>3240</v>
      </c>
      <c r="AJ16" s="259">
        <v>603</v>
      </c>
      <c r="AK16" s="260">
        <v>1077</v>
      </c>
    </row>
    <row r="17" spans="1:37" ht="14.15" customHeight="1" x14ac:dyDescent="0.3">
      <c r="A17" s="136" t="s">
        <v>3</v>
      </c>
      <c r="B17" s="307">
        <v>45291</v>
      </c>
      <c r="C17" s="258">
        <v>14</v>
      </c>
      <c r="D17" s="259">
        <v>26</v>
      </c>
      <c r="E17" s="131">
        <v>27</v>
      </c>
      <c r="F17" s="131">
        <v>7</v>
      </c>
      <c r="G17" s="132">
        <v>33</v>
      </c>
      <c r="H17" s="258">
        <v>63</v>
      </c>
      <c r="I17" s="259">
        <v>76</v>
      </c>
      <c r="J17" s="259">
        <v>210</v>
      </c>
      <c r="K17" s="259">
        <v>48</v>
      </c>
      <c r="L17" s="260">
        <v>91</v>
      </c>
      <c r="M17" s="133">
        <v>10</v>
      </c>
      <c r="N17" s="134">
        <v>6</v>
      </c>
      <c r="O17" s="131"/>
      <c r="P17" s="131">
        <v>8</v>
      </c>
      <c r="Q17" s="131">
        <v>8</v>
      </c>
      <c r="R17" s="258">
        <v>27</v>
      </c>
      <c r="S17" s="261">
        <v>5</v>
      </c>
      <c r="T17" s="131">
        <v>13</v>
      </c>
      <c r="U17" s="259">
        <v>16</v>
      </c>
      <c r="V17" s="260">
        <v>16</v>
      </c>
      <c r="W17" s="258">
        <v>8</v>
      </c>
      <c r="X17" s="261">
        <v>44</v>
      </c>
      <c r="Y17" s="131">
        <v>37</v>
      </c>
      <c r="Z17" s="131">
        <v>7</v>
      </c>
      <c r="AA17" s="132">
        <v>45</v>
      </c>
      <c r="AB17" s="258">
        <v>54</v>
      </c>
      <c r="AC17" s="261">
        <v>32</v>
      </c>
      <c r="AD17" s="131">
        <v>119</v>
      </c>
      <c r="AE17" s="259">
        <v>40</v>
      </c>
      <c r="AF17" s="260">
        <v>46</v>
      </c>
      <c r="AG17" s="258">
        <v>70</v>
      </c>
      <c r="AH17" s="261">
        <v>84</v>
      </c>
      <c r="AI17" s="259">
        <v>215</v>
      </c>
      <c r="AJ17" s="259">
        <v>53</v>
      </c>
      <c r="AK17" s="260">
        <v>101</v>
      </c>
    </row>
    <row r="18" spans="1:37" ht="14.15" customHeight="1" x14ac:dyDescent="0.3">
      <c r="A18" s="136" t="s">
        <v>13</v>
      </c>
      <c r="B18" s="307">
        <v>45291</v>
      </c>
      <c r="C18" s="258">
        <v>66</v>
      </c>
      <c r="D18" s="259">
        <v>121</v>
      </c>
      <c r="E18" s="131">
        <v>160</v>
      </c>
      <c r="F18" s="131">
        <v>48</v>
      </c>
      <c r="G18" s="132">
        <v>139</v>
      </c>
      <c r="H18" s="258">
        <v>317</v>
      </c>
      <c r="I18" s="259">
        <v>255</v>
      </c>
      <c r="J18" s="259">
        <v>896</v>
      </c>
      <c r="K18" s="259">
        <v>192</v>
      </c>
      <c r="L18" s="260">
        <v>380</v>
      </c>
      <c r="M18" s="133">
        <v>41</v>
      </c>
      <c r="N18" s="134">
        <v>27</v>
      </c>
      <c r="O18" s="131"/>
      <c r="P18" s="131">
        <v>26</v>
      </c>
      <c r="Q18" s="131">
        <v>42</v>
      </c>
      <c r="R18" s="258">
        <v>140</v>
      </c>
      <c r="S18" s="261">
        <v>34</v>
      </c>
      <c r="T18" s="131">
        <v>68</v>
      </c>
      <c r="U18" s="259">
        <v>83</v>
      </c>
      <c r="V18" s="260">
        <v>91</v>
      </c>
      <c r="W18" s="258">
        <v>59</v>
      </c>
      <c r="X18" s="261">
        <v>176</v>
      </c>
      <c r="Y18" s="131">
        <v>116</v>
      </c>
      <c r="Z18" s="131">
        <v>40</v>
      </c>
      <c r="AA18" s="132">
        <v>195</v>
      </c>
      <c r="AB18" s="258">
        <v>250</v>
      </c>
      <c r="AC18" s="261">
        <v>74</v>
      </c>
      <c r="AD18" s="131">
        <v>567</v>
      </c>
      <c r="AE18" s="259">
        <v>148</v>
      </c>
      <c r="AF18" s="260">
        <v>176</v>
      </c>
      <c r="AG18" s="258">
        <v>342</v>
      </c>
      <c r="AH18" s="261">
        <v>291</v>
      </c>
      <c r="AI18" s="259">
        <v>924</v>
      </c>
      <c r="AJ18" s="259">
        <v>210</v>
      </c>
      <c r="AK18" s="260">
        <v>423</v>
      </c>
    </row>
    <row r="19" spans="1:37" ht="14.15" customHeight="1" x14ac:dyDescent="0.3">
      <c r="A19" s="136" t="s">
        <v>14</v>
      </c>
      <c r="B19" s="307">
        <v>45291</v>
      </c>
      <c r="C19" s="258">
        <v>39</v>
      </c>
      <c r="D19" s="259">
        <v>31</v>
      </c>
      <c r="E19" s="131">
        <v>71</v>
      </c>
      <c r="F19" s="131">
        <v>20</v>
      </c>
      <c r="G19" s="132">
        <v>50</v>
      </c>
      <c r="H19" s="258">
        <v>149</v>
      </c>
      <c r="I19" s="259">
        <v>86</v>
      </c>
      <c r="J19" s="259">
        <v>387</v>
      </c>
      <c r="K19" s="259">
        <v>94</v>
      </c>
      <c r="L19" s="260">
        <v>141</v>
      </c>
      <c r="M19" s="133">
        <v>26</v>
      </c>
      <c r="N19" s="134">
        <v>19</v>
      </c>
      <c r="O19" s="131"/>
      <c r="P19" s="131">
        <v>25</v>
      </c>
      <c r="Q19" s="131">
        <v>20</v>
      </c>
      <c r="R19" s="258">
        <v>95</v>
      </c>
      <c r="S19" s="261">
        <v>13</v>
      </c>
      <c r="T19" s="131">
        <v>12</v>
      </c>
      <c r="U19" s="259">
        <v>58</v>
      </c>
      <c r="V19" s="260">
        <v>50</v>
      </c>
      <c r="W19" s="258">
        <v>23</v>
      </c>
      <c r="X19" s="261">
        <v>57</v>
      </c>
      <c r="Y19" s="131">
        <v>51</v>
      </c>
      <c r="Z19" s="131">
        <v>10</v>
      </c>
      <c r="AA19" s="132">
        <v>70</v>
      </c>
      <c r="AB19" s="258">
        <v>121</v>
      </c>
      <c r="AC19" s="261">
        <v>26</v>
      </c>
      <c r="AD19" s="131">
        <v>230</v>
      </c>
      <c r="AE19" s="259">
        <v>80</v>
      </c>
      <c r="AF19" s="260">
        <v>67</v>
      </c>
      <c r="AG19" s="258">
        <v>169</v>
      </c>
      <c r="AH19" s="261">
        <v>97</v>
      </c>
      <c r="AI19" s="259">
        <v>405</v>
      </c>
      <c r="AJ19" s="259">
        <v>101</v>
      </c>
      <c r="AK19" s="260">
        <v>165</v>
      </c>
    </row>
    <row r="20" spans="1:37" ht="14.15" customHeight="1" x14ac:dyDescent="0.3">
      <c r="A20" s="136" t="s">
        <v>15</v>
      </c>
      <c r="B20" s="307">
        <v>45291</v>
      </c>
      <c r="C20" s="258">
        <v>177</v>
      </c>
      <c r="D20" s="259">
        <v>198</v>
      </c>
      <c r="E20" s="131">
        <v>387</v>
      </c>
      <c r="F20" s="131">
        <v>104</v>
      </c>
      <c r="G20" s="132">
        <v>271</v>
      </c>
      <c r="H20" s="258">
        <v>702</v>
      </c>
      <c r="I20" s="259">
        <v>522</v>
      </c>
      <c r="J20" s="259">
        <v>2289</v>
      </c>
      <c r="K20" s="259">
        <v>440</v>
      </c>
      <c r="L20" s="260">
        <v>784</v>
      </c>
      <c r="M20" s="133">
        <v>86</v>
      </c>
      <c r="N20" s="134">
        <v>50</v>
      </c>
      <c r="O20" s="131"/>
      <c r="P20" s="131">
        <v>69</v>
      </c>
      <c r="Q20" s="131">
        <v>67</v>
      </c>
      <c r="R20" s="258">
        <v>326</v>
      </c>
      <c r="S20" s="261">
        <v>80</v>
      </c>
      <c r="T20" s="131">
        <v>117</v>
      </c>
      <c r="U20" s="259">
        <v>175</v>
      </c>
      <c r="V20" s="260">
        <v>231</v>
      </c>
      <c r="W20" s="258">
        <v>112</v>
      </c>
      <c r="X20" s="261">
        <v>329</v>
      </c>
      <c r="Y20" s="131">
        <v>400</v>
      </c>
      <c r="Z20" s="131">
        <v>81</v>
      </c>
      <c r="AA20" s="132">
        <v>360</v>
      </c>
      <c r="AB20" s="258">
        <v>574</v>
      </c>
      <c r="AC20" s="261">
        <v>178</v>
      </c>
      <c r="AD20" s="131">
        <v>1413</v>
      </c>
      <c r="AE20" s="259">
        <v>344</v>
      </c>
      <c r="AF20" s="260">
        <v>408</v>
      </c>
      <c r="AG20" s="258">
        <v>771</v>
      </c>
      <c r="AH20" s="261">
        <v>595</v>
      </c>
      <c r="AI20" s="259">
        <v>2367</v>
      </c>
      <c r="AJ20" s="259">
        <v>473</v>
      </c>
      <c r="AK20" s="260">
        <v>893</v>
      </c>
    </row>
    <row r="21" spans="1:37" ht="14.15" customHeight="1" x14ac:dyDescent="0.3">
      <c r="A21" s="136" t="s">
        <v>16</v>
      </c>
      <c r="B21" s="307">
        <v>45291</v>
      </c>
      <c r="C21" s="258">
        <v>44</v>
      </c>
      <c r="D21" s="259">
        <v>81</v>
      </c>
      <c r="E21" s="131">
        <v>205</v>
      </c>
      <c r="F21" s="131">
        <v>44</v>
      </c>
      <c r="G21" s="132">
        <v>81</v>
      </c>
      <c r="H21" s="258">
        <v>186</v>
      </c>
      <c r="I21" s="259">
        <v>176</v>
      </c>
      <c r="J21" s="259">
        <v>928</v>
      </c>
      <c r="K21" s="259">
        <v>145</v>
      </c>
      <c r="L21" s="260">
        <v>217</v>
      </c>
      <c r="M21" s="133">
        <v>22</v>
      </c>
      <c r="N21" s="134">
        <v>14</v>
      </c>
      <c r="O21" s="131"/>
      <c r="P21" s="131">
        <v>17</v>
      </c>
      <c r="Q21" s="131">
        <v>19</v>
      </c>
      <c r="R21" s="258">
        <v>136</v>
      </c>
      <c r="S21" s="261">
        <v>34</v>
      </c>
      <c r="T21" s="131">
        <v>55</v>
      </c>
      <c r="U21" s="259">
        <v>81</v>
      </c>
      <c r="V21" s="260">
        <v>89</v>
      </c>
      <c r="W21" s="258">
        <v>38</v>
      </c>
      <c r="X21" s="261">
        <v>104</v>
      </c>
      <c r="Y21" s="131">
        <v>146</v>
      </c>
      <c r="Z21" s="131">
        <v>21</v>
      </c>
      <c r="AA21" s="132">
        <v>121</v>
      </c>
      <c r="AB21" s="258">
        <v>142</v>
      </c>
      <c r="AC21" s="261">
        <v>60</v>
      </c>
      <c r="AD21" s="131">
        <v>567</v>
      </c>
      <c r="AE21" s="259">
        <v>113</v>
      </c>
      <c r="AF21" s="260">
        <v>89</v>
      </c>
      <c r="AG21" s="258">
        <v>198</v>
      </c>
      <c r="AH21" s="261">
        <v>199</v>
      </c>
      <c r="AI21" s="259">
        <v>972</v>
      </c>
      <c r="AJ21" s="259">
        <v>153</v>
      </c>
      <c r="AK21" s="260">
        <v>244</v>
      </c>
    </row>
    <row r="22" spans="1:37" ht="14.15" customHeight="1" x14ac:dyDescent="0.3">
      <c r="A22" s="136" t="s">
        <v>17</v>
      </c>
      <c r="B22" s="307">
        <v>45291</v>
      </c>
      <c r="C22" s="258">
        <v>30</v>
      </c>
      <c r="D22" s="259">
        <v>13</v>
      </c>
      <c r="E22" s="131">
        <v>27</v>
      </c>
      <c r="F22" s="131">
        <v>18</v>
      </c>
      <c r="G22" s="132">
        <v>25</v>
      </c>
      <c r="H22" s="258">
        <v>99</v>
      </c>
      <c r="I22" s="259">
        <v>62</v>
      </c>
      <c r="J22" s="259">
        <v>208</v>
      </c>
      <c r="K22" s="259">
        <v>64</v>
      </c>
      <c r="L22" s="260">
        <v>97</v>
      </c>
      <c r="M22" s="133">
        <v>9</v>
      </c>
      <c r="N22" s="134">
        <v>6</v>
      </c>
      <c r="O22" s="131"/>
      <c r="P22" s="131">
        <v>7</v>
      </c>
      <c r="Q22" s="131">
        <v>8</v>
      </c>
      <c r="R22" s="258">
        <v>35</v>
      </c>
      <c r="S22" s="261">
        <v>11</v>
      </c>
      <c r="T22" s="131">
        <v>13</v>
      </c>
      <c r="U22" s="259">
        <v>20</v>
      </c>
      <c r="V22" s="260">
        <v>26</v>
      </c>
      <c r="W22" s="258">
        <v>17</v>
      </c>
      <c r="X22" s="261">
        <v>34</v>
      </c>
      <c r="Y22" s="131">
        <v>31</v>
      </c>
      <c r="Z22" s="131">
        <v>16</v>
      </c>
      <c r="AA22" s="132">
        <v>35</v>
      </c>
      <c r="AB22" s="258">
        <v>79</v>
      </c>
      <c r="AC22" s="261">
        <v>26</v>
      </c>
      <c r="AD22" s="131">
        <v>122</v>
      </c>
      <c r="AE22" s="259">
        <v>46</v>
      </c>
      <c r="AF22" s="260">
        <v>59</v>
      </c>
      <c r="AG22" s="258">
        <v>106</v>
      </c>
      <c r="AH22" s="261">
        <v>64</v>
      </c>
      <c r="AI22" s="259">
        <v>218</v>
      </c>
      <c r="AJ22" s="259">
        <v>67</v>
      </c>
      <c r="AK22" s="260">
        <v>103</v>
      </c>
    </row>
    <row r="23" spans="1:37" ht="14.15" customHeight="1" x14ac:dyDescent="0.3">
      <c r="A23" s="136" t="s">
        <v>18</v>
      </c>
      <c r="B23" s="307">
        <v>45291</v>
      </c>
      <c r="C23" s="258">
        <v>5</v>
      </c>
      <c r="D23" s="259">
        <v>12</v>
      </c>
      <c r="E23" s="131">
        <v>36</v>
      </c>
      <c r="F23" s="131">
        <v>6</v>
      </c>
      <c r="G23" s="132">
        <v>11</v>
      </c>
      <c r="H23" s="258">
        <v>31</v>
      </c>
      <c r="I23" s="259">
        <v>37</v>
      </c>
      <c r="J23" s="259">
        <v>150</v>
      </c>
      <c r="K23" s="259">
        <v>28</v>
      </c>
      <c r="L23" s="260">
        <v>40</v>
      </c>
      <c r="M23" s="133">
        <v>7</v>
      </c>
      <c r="N23" s="134">
        <v>5</v>
      </c>
      <c r="O23" s="131"/>
      <c r="P23" s="131">
        <v>3</v>
      </c>
      <c r="Q23" s="131">
        <v>9</v>
      </c>
      <c r="R23" s="258">
        <v>26</v>
      </c>
      <c r="S23" s="261">
        <v>4</v>
      </c>
      <c r="T23" s="131">
        <v>10</v>
      </c>
      <c r="U23" s="259">
        <v>17</v>
      </c>
      <c r="V23" s="260">
        <v>13</v>
      </c>
      <c r="W23" s="258">
        <v>4</v>
      </c>
      <c r="X23" s="261">
        <v>19</v>
      </c>
      <c r="Y23" s="131">
        <v>21</v>
      </c>
      <c r="Z23" s="131">
        <v>6</v>
      </c>
      <c r="AA23" s="132">
        <v>17</v>
      </c>
      <c r="AB23" s="258">
        <v>25</v>
      </c>
      <c r="AC23" s="261">
        <v>18</v>
      </c>
      <c r="AD23" s="131">
        <v>98</v>
      </c>
      <c r="AE23" s="259">
        <v>21</v>
      </c>
      <c r="AF23" s="260">
        <v>22</v>
      </c>
      <c r="AG23" s="258">
        <v>32</v>
      </c>
      <c r="AH23" s="261">
        <v>37</v>
      </c>
      <c r="AI23" s="259">
        <v>154</v>
      </c>
      <c r="AJ23" s="259">
        <v>28</v>
      </c>
      <c r="AK23" s="260">
        <v>41</v>
      </c>
    </row>
    <row r="24" spans="1:37" ht="14.15" customHeight="1" x14ac:dyDescent="0.3">
      <c r="A24" s="136" t="s">
        <v>19</v>
      </c>
      <c r="B24" s="307">
        <v>45291</v>
      </c>
      <c r="C24" s="258">
        <v>166</v>
      </c>
      <c r="D24" s="259">
        <v>296</v>
      </c>
      <c r="E24" s="131">
        <v>591</v>
      </c>
      <c r="F24" s="131">
        <v>93</v>
      </c>
      <c r="G24" s="132">
        <v>369</v>
      </c>
      <c r="H24" s="258">
        <v>688</v>
      </c>
      <c r="I24" s="259">
        <v>658</v>
      </c>
      <c r="J24" s="259">
        <v>2872</v>
      </c>
      <c r="K24" s="259">
        <v>429</v>
      </c>
      <c r="L24" s="260">
        <v>917</v>
      </c>
      <c r="M24" s="133">
        <v>88</v>
      </c>
      <c r="N24" s="134">
        <v>59</v>
      </c>
      <c r="O24" s="131"/>
      <c r="P24" s="131">
        <v>63</v>
      </c>
      <c r="Q24" s="131">
        <v>84</v>
      </c>
      <c r="R24" s="258">
        <v>303</v>
      </c>
      <c r="S24" s="261">
        <v>89</v>
      </c>
      <c r="T24" s="131">
        <v>181</v>
      </c>
      <c r="U24" s="259">
        <v>184</v>
      </c>
      <c r="V24" s="260">
        <v>208</v>
      </c>
      <c r="W24" s="258">
        <v>117</v>
      </c>
      <c r="X24" s="261">
        <v>427</v>
      </c>
      <c r="Y24" s="131">
        <v>474</v>
      </c>
      <c r="Z24" s="131">
        <v>70</v>
      </c>
      <c r="AA24" s="132">
        <v>474</v>
      </c>
      <c r="AB24" s="258">
        <v>552</v>
      </c>
      <c r="AC24" s="261">
        <v>215</v>
      </c>
      <c r="AD24" s="131">
        <v>1737</v>
      </c>
      <c r="AE24" s="259">
        <v>339</v>
      </c>
      <c r="AF24" s="260">
        <v>428</v>
      </c>
      <c r="AG24" s="258">
        <v>749</v>
      </c>
      <c r="AH24" s="261">
        <v>738</v>
      </c>
      <c r="AI24" s="259">
        <v>2973</v>
      </c>
      <c r="AJ24" s="259">
        <v>467</v>
      </c>
      <c r="AK24" s="260">
        <v>1020</v>
      </c>
    </row>
    <row r="25" spans="1:37" ht="14.15" customHeight="1" x14ac:dyDescent="0.3">
      <c r="A25" s="136" t="s">
        <v>20</v>
      </c>
      <c r="B25" s="307">
        <v>45291</v>
      </c>
      <c r="C25" s="258">
        <v>45</v>
      </c>
      <c r="D25" s="259">
        <v>51</v>
      </c>
      <c r="E25" s="131">
        <v>84</v>
      </c>
      <c r="F25" s="131">
        <v>24</v>
      </c>
      <c r="G25" s="132">
        <v>72</v>
      </c>
      <c r="H25" s="258">
        <v>178</v>
      </c>
      <c r="I25" s="259">
        <v>120</v>
      </c>
      <c r="J25" s="259">
        <v>495</v>
      </c>
      <c r="K25" s="259">
        <v>99</v>
      </c>
      <c r="L25" s="260">
        <v>199</v>
      </c>
      <c r="M25" s="133">
        <v>29</v>
      </c>
      <c r="N25" s="134">
        <v>11</v>
      </c>
      <c r="O25" s="131"/>
      <c r="P25" s="131">
        <v>13</v>
      </c>
      <c r="Q25" s="131">
        <v>27</v>
      </c>
      <c r="R25" s="258">
        <v>73</v>
      </c>
      <c r="S25" s="261">
        <v>15</v>
      </c>
      <c r="T25" s="131">
        <v>32</v>
      </c>
      <c r="U25" s="259">
        <v>46</v>
      </c>
      <c r="V25" s="260">
        <v>42</v>
      </c>
      <c r="W25" s="258">
        <v>38</v>
      </c>
      <c r="X25" s="261">
        <v>82</v>
      </c>
      <c r="Y25" s="131">
        <v>58</v>
      </c>
      <c r="Z25" s="131">
        <v>16</v>
      </c>
      <c r="AA25" s="132">
        <v>104</v>
      </c>
      <c r="AB25" s="258">
        <v>133</v>
      </c>
      <c r="AC25" s="261">
        <v>32</v>
      </c>
      <c r="AD25" s="131">
        <v>312</v>
      </c>
      <c r="AE25" s="259">
        <v>77</v>
      </c>
      <c r="AF25" s="260">
        <v>88</v>
      </c>
      <c r="AG25" s="258">
        <v>190</v>
      </c>
      <c r="AH25" s="261">
        <v>133</v>
      </c>
      <c r="AI25" s="259">
        <v>508</v>
      </c>
      <c r="AJ25" s="259">
        <v>105</v>
      </c>
      <c r="AK25" s="260">
        <v>218</v>
      </c>
    </row>
    <row r="26" spans="1:37" ht="14.15" customHeight="1" x14ac:dyDescent="0.3">
      <c r="A26" s="136" t="s">
        <v>21</v>
      </c>
      <c r="B26" s="307">
        <v>45291</v>
      </c>
      <c r="C26" s="258">
        <v>91</v>
      </c>
      <c r="D26" s="259">
        <v>136</v>
      </c>
      <c r="E26" s="131">
        <v>273</v>
      </c>
      <c r="F26" s="131">
        <v>56</v>
      </c>
      <c r="G26" s="132">
        <v>171</v>
      </c>
      <c r="H26" s="258">
        <v>423</v>
      </c>
      <c r="I26" s="259">
        <v>309</v>
      </c>
      <c r="J26" s="259">
        <v>1490</v>
      </c>
      <c r="K26" s="259">
        <v>276</v>
      </c>
      <c r="L26" s="260">
        <v>456</v>
      </c>
      <c r="M26" s="133">
        <v>52</v>
      </c>
      <c r="N26" s="134">
        <v>19</v>
      </c>
      <c r="O26" s="131"/>
      <c r="P26" s="131">
        <v>31</v>
      </c>
      <c r="Q26" s="131">
        <v>40</v>
      </c>
      <c r="R26" s="258">
        <v>270</v>
      </c>
      <c r="S26" s="261">
        <v>41</v>
      </c>
      <c r="T26" s="131">
        <v>98</v>
      </c>
      <c r="U26" s="259">
        <v>158</v>
      </c>
      <c r="V26" s="260">
        <v>153</v>
      </c>
      <c r="W26" s="258">
        <v>87</v>
      </c>
      <c r="X26" s="261">
        <v>214</v>
      </c>
      <c r="Y26" s="131">
        <v>229</v>
      </c>
      <c r="Z26" s="131">
        <v>64</v>
      </c>
      <c r="AA26" s="132">
        <v>237</v>
      </c>
      <c r="AB26" s="258">
        <v>320</v>
      </c>
      <c r="AC26" s="261">
        <v>89</v>
      </c>
      <c r="AD26" s="131">
        <v>910</v>
      </c>
      <c r="AE26" s="259">
        <v>201</v>
      </c>
      <c r="AF26" s="260">
        <v>208</v>
      </c>
      <c r="AG26" s="258">
        <v>482</v>
      </c>
      <c r="AH26" s="261">
        <v>356</v>
      </c>
      <c r="AI26" s="259">
        <v>1541</v>
      </c>
      <c r="AJ26" s="259">
        <v>309</v>
      </c>
      <c r="AK26" s="260">
        <v>529</v>
      </c>
    </row>
    <row r="27" spans="1:37" ht="14.15" customHeight="1" x14ac:dyDescent="0.3">
      <c r="A27" s="136" t="s">
        <v>22</v>
      </c>
      <c r="B27" s="307">
        <v>45291</v>
      </c>
      <c r="C27" s="258">
        <v>91</v>
      </c>
      <c r="D27" s="259">
        <v>99</v>
      </c>
      <c r="E27" s="131">
        <v>169</v>
      </c>
      <c r="F27" s="131">
        <v>53</v>
      </c>
      <c r="G27" s="132">
        <v>137</v>
      </c>
      <c r="H27" s="258">
        <v>343</v>
      </c>
      <c r="I27" s="259">
        <v>284</v>
      </c>
      <c r="J27" s="259">
        <v>834</v>
      </c>
      <c r="K27" s="259">
        <v>216</v>
      </c>
      <c r="L27" s="260">
        <v>411</v>
      </c>
      <c r="M27" s="133">
        <v>38</v>
      </c>
      <c r="N27" s="134">
        <v>33</v>
      </c>
      <c r="O27" s="131"/>
      <c r="P27" s="131">
        <v>30</v>
      </c>
      <c r="Q27" s="131">
        <v>41</v>
      </c>
      <c r="R27" s="258">
        <v>118</v>
      </c>
      <c r="S27" s="261">
        <v>38</v>
      </c>
      <c r="T27" s="131">
        <v>52</v>
      </c>
      <c r="U27" s="259">
        <v>63</v>
      </c>
      <c r="V27" s="260">
        <v>93</v>
      </c>
      <c r="W27" s="258">
        <v>70</v>
      </c>
      <c r="X27" s="261">
        <v>206</v>
      </c>
      <c r="Y27" s="131">
        <v>99</v>
      </c>
      <c r="Z27" s="131">
        <v>47</v>
      </c>
      <c r="AA27" s="132">
        <v>229</v>
      </c>
      <c r="AB27" s="258">
        <v>264</v>
      </c>
      <c r="AC27" s="261">
        <v>74</v>
      </c>
      <c r="AD27" s="131">
        <v>480</v>
      </c>
      <c r="AE27" s="259">
        <v>163</v>
      </c>
      <c r="AF27" s="260">
        <v>175</v>
      </c>
      <c r="AG27" s="258">
        <v>381</v>
      </c>
      <c r="AH27" s="261">
        <v>333</v>
      </c>
      <c r="AI27" s="259">
        <v>865</v>
      </c>
      <c r="AJ27" s="259">
        <v>241</v>
      </c>
      <c r="AK27" s="260">
        <v>473</v>
      </c>
    </row>
    <row r="28" spans="1:37" ht="14.15" customHeight="1" x14ac:dyDescent="0.3">
      <c r="A28" s="136" t="s">
        <v>23</v>
      </c>
      <c r="B28" s="307">
        <v>45291</v>
      </c>
      <c r="C28" s="258">
        <v>73</v>
      </c>
      <c r="D28" s="259">
        <v>132</v>
      </c>
      <c r="E28" s="131">
        <v>285</v>
      </c>
      <c r="F28" s="131">
        <v>49</v>
      </c>
      <c r="G28" s="132">
        <v>156</v>
      </c>
      <c r="H28" s="258">
        <v>241</v>
      </c>
      <c r="I28" s="259">
        <v>309</v>
      </c>
      <c r="J28" s="259">
        <v>1318</v>
      </c>
      <c r="K28" s="259">
        <v>168</v>
      </c>
      <c r="L28" s="260">
        <v>382</v>
      </c>
      <c r="M28" s="133">
        <v>28</v>
      </c>
      <c r="N28" s="134">
        <v>24</v>
      </c>
      <c r="O28" s="131"/>
      <c r="P28" s="131">
        <v>15</v>
      </c>
      <c r="Q28" s="131">
        <v>37</v>
      </c>
      <c r="R28" s="258">
        <v>69</v>
      </c>
      <c r="S28" s="261">
        <v>27</v>
      </c>
      <c r="T28" s="131">
        <v>82</v>
      </c>
      <c r="U28" s="259">
        <v>45</v>
      </c>
      <c r="V28" s="260">
        <v>51</v>
      </c>
      <c r="W28" s="258">
        <v>46</v>
      </c>
      <c r="X28" s="261">
        <v>211</v>
      </c>
      <c r="Y28" s="131">
        <v>180</v>
      </c>
      <c r="Z28" s="131">
        <v>30</v>
      </c>
      <c r="AA28" s="132">
        <v>227</v>
      </c>
      <c r="AB28" s="258">
        <v>187</v>
      </c>
      <c r="AC28" s="261">
        <v>92</v>
      </c>
      <c r="AD28" s="131">
        <v>825</v>
      </c>
      <c r="AE28" s="259">
        <v>134</v>
      </c>
      <c r="AF28" s="260">
        <v>145</v>
      </c>
      <c r="AG28" s="258">
        <v>252</v>
      </c>
      <c r="AH28" s="261">
        <v>361</v>
      </c>
      <c r="AI28" s="259">
        <v>1394</v>
      </c>
      <c r="AJ28" s="259">
        <v>182</v>
      </c>
      <c r="AK28" s="260">
        <v>431</v>
      </c>
    </row>
    <row r="29" spans="1:37" ht="14.15" customHeight="1" x14ac:dyDescent="0.3">
      <c r="A29" s="136" t="s">
        <v>24</v>
      </c>
      <c r="B29" s="307">
        <v>45291</v>
      </c>
      <c r="C29" s="258">
        <v>104</v>
      </c>
      <c r="D29" s="259">
        <v>179</v>
      </c>
      <c r="E29" s="131">
        <v>373</v>
      </c>
      <c r="F29" s="131">
        <v>66</v>
      </c>
      <c r="G29" s="132">
        <v>217</v>
      </c>
      <c r="H29" s="258">
        <v>345</v>
      </c>
      <c r="I29" s="259">
        <v>351</v>
      </c>
      <c r="J29" s="259">
        <v>1876</v>
      </c>
      <c r="K29" s="259">
        <v>220</v>
      </c>
      <c r="L29" s="260">
        <v>476</v>
      </c>
      <c r="M29" s="133">
        <v>22</v>
      </c>
      <c r="N29" s="134">
        <v>26</v>
      </c>
      <c r="O29" s="131"/>
      <c r="P29" s="131">
        <v>14</v>
      </c>
      <c r="Q29" s="131">
        <v>34</v>
      </c>
      <c r="R29" s="258">
        <v>127</v>
      </c>
      <c r="S29" s="261">
        <v>48</v>
      </c>
      <c r="T29" s="131">
        <v>135</v>
      </c>
      <c r="U29" s="259">
        <v>99</v>
      </c>
      <c r="V29" s="260">
        <v>76</v>
      </c>
      <c r="W29" s="258">
        <v>80</v>
      </c>
      <c r="X29" s="261">
        <v>237</v>
      </c>
      <c r="Y29" s="131">
        <v>258</v>
      </c>
      <c r="Z29" s="131">
        <v>52</v>
      </c>
      <c r="AA29" s="132">
        <v>265</v>
      </c>
      <c r="AB29" s="258">
        <v>258</v>
      </c>
      <c r="AC29" s="261">
        <v>103</v>
      </c>
      <c r="AD29" s="131">
        <v>1117</v>
      </c>
      <c r="AE29" s="259">
        <v>160</v>
      </c>
      <c r="AF29" s="260">
        <v>201</v>
      </c>
      <c r="AG29" s="258">
        <v>365</v>
      </c>
      <c r="AH29" s="261">
        <v>402</v>
      </c>
      <c r="AI29" s="259">
        <v>1949</v>
      </c>
      <c r="AJ29" s="259">
        <v>232</v>
      </c>
      <c r="AK29" s="260">
        <v>535</v>
      </c>
    </row>
    <row r="30" spans="1:37" ht="14.15" customHeight="1" x14ac:dyDescent="0.3">
      <c r="A30" s="136" t="s">
        <v>25</v>
      </c>
      <c r="B30" s="307">
        <v>45291</v>
      </c>
      <c r="C30" s="258">
        <v>16</v>
      </c>
      <c r="D30" s="259">
        <v>25</v>
      </c>
      <c r="E30" s="131">
        <v>23</v>
      </c>
      <c r="F30" s="131">
        <v>10</v>
      </c>
      <c r="G30" s="132">
        <v>31</v>
      </c>
      <c r="H30" s="258">
        <v>71</v>
      </c>
      <c r="I30" s="259">
        <v>62</v>
      </c>
      <c r="J30" s="259">
        <v>191</v>
      </c>
      <c r="K30" s="259">
        <v>44</v>
      </c>
      <c r="L30" s="260">
        <v>89</v>
      </c>
      <c r="M30" s="133">
        <v>16</v>
      </c>
      <c r="N30" s="134">
        <v>3</v>
      </c>
      <c r="O30" s="131"/>
      <c r="P30" s="131">
        <v>12</v>
      </c>
      <c r="Q30" s="131">
        <v>7</v>
      </c>
      <c r="R30" s="258">
        <v>26</v>
      </c>
      <c r="S30" s="261">
        <v>8</v>
      </c>
      <c r="T30" s="131">
        <v>10</v>
      </c>
      <c r="U30" s="259">
        <v>20</v>
      </c>
      <c r="V30" s="260">
        <v>14</v>
      </c>
      <c r="W30" s="258">
        <v>9</v>
      </c>
      <c r="X30" s="261">
        <v>41</v>
      </c>
      <c r="Y30" s="131">
        <v>18</v>
      </c>
      <c r="Z30" s="131">
        <v>6</v>
      </c>
      <c r="AA30" s="132">
        <v>44</v>
      </c>
      <c r="AB30" s="258">
        <v>62</v>
      </c>
      <c r="AC30" s="261">
        <v>20</v>
      </c>
      <c r="AD30" s="131">
        <v>120</v>
      </c>
      <c r="AE30" s="259">
        <v>38</v>
      </c>
      <c r="AF30" s="260">
        <v>44</v>
      </c>
      <c r="AG30" s="258">
        <v>85</v>
      </c>
      <c r="AH30" s="261">
        <v>68</v>
      </c>
      <c r="AI30" s="259">
        <v>198</v>
      </c>
      <c r="AJ30" s="259">
        <v>51</v>
      </c>
      <c r="AK30" s="260">
        <v>102</v>
      </c>
    </row>
    <row r="31" spans="1:37" ht="14.15" customHeight="1" x14ac:dyDescent="0.3">
      <c r="A31" s="136" t="s">
        <v>26</v>
      </c>
      <c r="B31" s="307">
        <v>45291</v>
      </c>
      <c r="C31" s="258">
        <v>331</v>
      </c>
      <c r="D31" s="259">
        <v>406</v>
      </c>
      <c r="E31" s="131">
        <v>914</v>
      </c>
      <c r="F31" s="131">
        <v>198</v>
      </c>
      <c r="G31" s="132">
        <v>539</v>
      </c>
      <c r="H31" s="258">
        <v>1149</v>
      </c>
      <c r="I31" s="259">
        <v>943</v>
      </c>
      <c r="J31" s="259">
        <v>4313</v>
      </c>
      <c r="K31" s="259">
        <v>751</v>
      </c>
      <c r="L31" s="260">
        <v>1341</v>
      </c>
      <c r="M31" s="133">
        <v>136</v>
      </c>
      <c r="N31" s="134">
        <v>95</v>
      </c>
      <c r="O31" s="131"/>
      <c r="P31" s="131">
        <v>93</v>
      </c>
      <c r="Q31" s="131">
        <v>138</v>
      </c>
      <c r="R31" s="258">
        <v>614</v>
      </c>
      <c r="S31" s="261">
        <v>198</v>
      </c>
      <c r="T31" s="131">
        <v>266</v>
      </c>
      <c r="U31" s="259">
        <v>393</v>
      </c>
      <c r="V31" s="260">
        <v>419</v>
      </c>
      <c r="W31" s="258">
        <v>204</v>
      </c>
      <c r="X31" s="261">
        <v>602</v>
      </c>
      <c r="Y31" s="131">
        <v>647</v>
      </c>
      <c r="Z31" s="131">
        <v>132</v>
      </c>
      <c r="AA31" s="132">
        <v>674</v>
      </c>
      <c r="AB31" s="258">
        <v>911</v>
      </c>
      <c r="AC31" s="261">
        <v>317</v>
      </c>
      <c r="AD31" s="131">
        <v>2526</v>
      </c>
      <c r="AE31" s="259">
        <v>588</v>
      </c>
      <c r="AF31" s="260">
        <v>640</v>
      </c>
      <c r="AG31" s="258">
        <v>1242</v>
      </c>
      <c r="AH31" s="261">
        <v>1046</v>
      </c>
      <c r="AI31" s="259">
        <v>4483</v>
      </c>
      <c r="AJ31" s="259">
        <v>817</v>
      </c>
      <c r="AK31" s="260">
        <v>1471</v>
      </c>
    </row>
    <row r="32" spans="1:37" ht="14.15" customHeight="1" x14ac:dyDescent="0.3">
      <c r="A32" s="136" t="s">
        <v>27</v>
      </c>
      <c r="B32" s="307">
        <v>45291</v>
      </c>
      <c r="C32" s="258">
        <v>109</v>
      </c>
      <c r="D32" s="259">
        <v>192</v>
      </c>
      <c r="E32" s="131">
        <v>383</v>
      </c>
      <c r="F32" s="131">
        <v>73</v>
      </c>
      <c r="G32" s="132">
        <v>228</v>
      </c>
      <c r="H32" s="258">
        <v>446</v>
      </c>
      <c r="I32" s="259">
        <v>426</v>
      </c>
      <c r="J32" s="259">
        <v>1604</v>
      </c>
      <c r="K32" s="259">
        <v>311</v>
      </c>
      <c r="L32" s="260">
        <v>561</v>
      </c>
      <c r="M32" s="133">
        <v>47</v>
      </c>
      <c r="N32" s="134">
        <v>41</v>
      </c>
      <c r="O32" s="131"/>
      <c r="P32" s="131">
        <v>29</v>
      </c>
      <c r="Q32" s="131">
        <v>59</v>
      </c>
      <c r="R32" s="258">
        <v>210</v>
      </c>
      <c r="S32" s="261">
        <v>97</v>
      </c>
      <c r="T32" s="131">
        <v>115</v>
      </c>
      <c r="U32" s="259">
        <v>161</v>
      </c>
      <c r="V32" s="260">
        <v>146</v>
      </c>
      <c r="W32" s="258">
        <v>69</v>
      </c>
      <c r="X32" s="261">
        <v>265</v>
      </c>
      <c r="Y32" s="131">
        <v>192</v>
      </c>
      <c r="Z32" s="131">
        <v>56</v>
      </c>
      <c r="AA32" s="132">
        <v>278</v>
      </c>
      <c r="AB32" s="258">
        <v>362</v>
      </c>
      <c r="AC32" s="261">
        <v>155</v>
      </c>
      <c r="AD32" s="131">
        <v>1042</v>
      </c>
      <c r="AE32" s="259">
        <v>242</v>
      </c>
      <c r="AF32" s="260">
        <v>275</v>
      </c>
      <c r="AG32" s="258">
        <v>500</v>
      </c>
      <c r="AH32" s="261">
        <v>480</v>
      </c>
      <c r="AI32" s="259">
        <v>1662</v>
      </c>
      <c r="AJ32" s="259">
        <v>343</v>
      </c>
      <c r="AK32" s="260">
        <v>637</v>
      </c>
    </row>
    <row r="33" spans="1:37" ht="14.15" customHeight="1" x14ac:dyDescent="0.3">
      <c r="A33" s="136" t="s">
        <v>28</v>
      </c>
      <c r="B33" s="307">
        <v>45291</v>
      </c>
      <c r="C33" s="258">
        <v>60</v>
      </c>
      <c r="D33" s="259">
        <v>64</v>
      </c>
      <c r="E33" s="131">
        <v>138</v>
      </c>
      <c r="F33" s="131">
        <v>40</v>
      </c>
      <c r="G33" s="132">
        <v>84</v>
      </c>
      <c r="H33" s="258">
        <v>209</v>
      </c>
      <c r="I33" s="259">
        <v>155</v>
      </c>
      <c r="J33" s="259">
        <v>653</v>
      </c>
      <c r="K33" s="259">
        <v>140</v>
      </c>
      <c r="L33" s="260">
        <v>224</v>
      </c>
      <c r="M33" s="133">
        <v>36</v>
      </c>
      <c r="N33" s="134">
        <v>18</v>
      </c>
      <c r="O33" s="131"/>
      <c r="P33" s="131">
        <v>27</v>
      </c>
      <c r="Q33" s="131">
        <v>27</v>
      </c>
      <c r="R33" s="258">
        <v>86</v>
      </c>
      <c r="S33" s="261">
        <v>17</v>
      </c>
      <c r="T33" s="131">
        <v>36</v>
      </c>
      <c r="U33" s="259">
        <v>46</v>
      </c>
      <c r="V33" s="260">
        <v>57</v>
      </c>
      <c r="W33" s="258">
        <v>30</v>
      </c>
      <c r="X33" s="261">
        <v>84</v>
      </c>
      <c r="Y33" s="131">
        <v>74</v>
      </c>
      <c r="Z33" s="131">
        <v>23</v>
      </c>
      <c r="AA33" s="132">
        <v>91</v>
      </c>
      <c r="AB33" s="258">
        <v>172</v>
      </c>
      <c r="AC33" s="261">
        <v>67</v>
      </c>
      <c r="AD33" s="131">
        <v>386</v>
      </c>
      <c r="AE33" s="259">
        <v>113</v>
      </c>
      <c r="AF33" s="260">
        <v>126</v>
      </c>
      <c r="AG33" s="258">
        <v>227</v>
      </c>
      <c r="AH33" s="261">
        <v>166</v>
      </c>
      <c r="AI33" s="259">
        <v>674</v>
      </c>
      <c r="AJ33" s="259">
        <v>151</v>
      </c>
      <c r="AK33" s="260">
        <v>242</v>
      </c>
    </row>
    <row r="34" spans="1:37" ht="14.15" customHeight="1" thickBot="1" x14ac:dyDescent="0.35">
      <c r="A34" s="364" t="s">
        <v>29</v>
      </c>
      <c r="B34" s="374">
        <v>45291</v>
      </c>
      <c r="C34" s="366">
        <v>438</v>
      </c>
      <c r="D34" s="367">
        <v>797</v>
      </c>
      <c r="E34" s="368">
        <v>1898</v>
      </c>
      <c r="F34" s="368">
        <v>278</v>
      </c>
      <c r="G34" s="369">
        <v>957</v>
      </c>
      <c r="H34" s="366">
        <v>1988</v>
      </c>
      <c r="I34" s="367">
        <v>1760</v>
      </c>
      <c r="J34" s="367">
        <v>8979</v>
      </c>
      <c r="K34" s="367">
        <v>1262</v>
      </c>
      <c r="L34" s="373">
        <v>2486</v>
      </c>
      <c r="M34" s="370">
        <v>252</v>
      </c>
      <c r="N34" s="371">
        <v>168</v>
      </c>
      <c r="O34" s="368"/>
      <c r="P34" s="368">
        <v>173</v>
      </c>
      <c r="Q34" s="368">
        <v>247</v>
      </c>
      <c r="R34" s="366">
        <v>930</v>
      </c>
      <c r="S34" s="372">
        <v>264</v>
      </c>
      <c r="T34" s="368">
        <v>418</v>
      </c>
      <c r="U34" s="367">
        <v>568</v>
      </c>
      <c r="V34" s="373">
        <v>626</v>
      </c>
      <c r="W34" s="366">
        <v>343</v>
      </c>
      <c r="X34" s="372">
        <v>1202</v>
      </c>
      <c r="Y34" s="368">
        <v>1557</v>
      </c>
      <c r="Z34" s="368">
        <v>215</v>
      </c>
      <c r="AA34" s="369">
        <v>1330</v>
      </c>
      <c r="AB34" s="366">
        <v>1590</v>
      </c>
      <c r="AC34" s="372">
        <v>485</v>
      </c>
      <c r="AD34" s="368">
        <v>5447</v>
      </c>
      <c r="AE34" s="367">
        <v>983</v>
      </c>
      <c r="AF34" s="373">
        <v>1092</v>
      </c>
      <c r="AG34" s="366">
        <v>2175</v>
      </c>
      <c r="AH34" s="372">
        <v>2011</v>
      </c>
      <c r="AI34" s="367">
        <v>9281</v>
      </c>
      <c r="AJ34" s="367">
        <v>1374</v>
      </c>
      <c r="AK34" s="373">
        <v>2812</v>
      </c>
    </row>
    <row r="35" spans="1:37" ht="14.15" customHeight="1" x14ac:dyDescent="0.3"/>
    <row r="36" spans="1:37" s="214" customFormat="1" ht="14.15" hidden="1" customHeight="1" x14ac:dyDescent="0.3">
      <c r="A36" s="215" t="s">
        <v>38</v>
      </c>
      <c r="B36" s="217"/>
      <c r="C36" s="216">
        <f>SUM(C8:D8)</f>
        <v>7404</v>
      </c>
      <c r="D36" s="217"/>
      <c r="E36" s="217"/>
      <c r="F36" s="216">
        <f>SUM(F8:G8)</f>
        <v>7404</v>
      </c>
      <c r="G36" s="217"/>
      <c r="H36" s="216">
        <f>SUM(H8:I8)</f>
        <v>22707</v>
      </c>
      <c r="I36" s="217"/>
      <c r="J36" s="217"/>
      <c r="K36" s="216">
        <f>SUM(K8:L8)</f>
        <v>22707</v>
      </c>
      <c r="L36" s="217"/>
      <c r="M36" s="215">
        <f>SUM(M8:N8)</f>
        <v>2501</v>
      </c>
      <c r="N36" s="217"/>
      <c r="O36" s="217"/>
      <c r="P36" s="215">
        <f>SUM(P8:Q8)</f>
        <v>2501</v>
      </c>
      <c r="Q36" s="217"/>
      <c r="R36" s="215">
        <f>SUM(R8:S8)</f>
        <v>7527</v>
      </c>
      <c r="S36" s="217"/>
      <c r="T36" s="217"/>
      <c r="U36" s="215">
        <f>SUM(U8:V8)</f>
        <v>7527</v>
      </c>
      <c r="V36" s="217"/>
      <c r="W36" s="215">
        <f>SUM(W8:X8)</f>
        <v>8919</v>
      </c>
      <c r="X36" s="217"/>
      <c r="Y36" s="217"/>
      <c r="Z36" s="215">
        <f>SUM(Z8:AA8)</f>
        <v>8919</v>
      </c>
      <c r="AA36" s="217"/>
      <c r="AB36" s="215">
        <f>SUM(AB8:AC8)</f>
        <v>13087</v>
      </c>
      <c r="AC36" s="217"/>
      <c r="AD36" s="217"/>
      <c r="AE36" s="215">
        <f>SUM(AE8:AF8)</f>
        <v>13087</v>
      </c>
      <c r="AF36" s="217"/>
      <c r="AG36" s="215">
        <f>SUM(AG8:AH8)</f>
        <v>25300</v>
      </c>
      <c r="AH36" s="217"/>
      <c r="AI36" s="217"/>
      <c r="AJ36" s="215">
        <f>SUM(AJ8:AK8)</f>
        <v>25300</v>
      </c>
      <c r="AK36" s="217"/>
    </row>
    <row r="37" spans="1:37" ht="14.15" customHeight="1" x14ac:dyDescent="0.3"/>
    <row r="38" spans="1:37" ht="14.15" customHeight="1" x14ac:dyDescent="0.3"/>
    <row r="39" spans="1:37" ht="14.15" customHeight="1" x14ac:dyDescent="0.3"/>
    <row r="40" spans="1:37" ht="14.15" customHeight="1" x14ac:dyDescent="0.3"/>
    <row r="41" spans="1:37" ht="14.15" customHeight="1" x14ac:dyDescent="0.3"/>
    <row r="42" spans="1:37" ht="14.15" customHeight="1" x14ac:dyDescent="0.3"/>
    <row r="43" spans="1:37" ht="14.15" customHeight="1" x14ac:dyDescent="0.3"/>
    <row r="44" spans="1:37" ht="14.15" customHeight="1" x14ac:dyDescent="0.3"/>
    <row r="45" spans="1:37" ht="14.15" customHeight="1" x14ac:dyDescent="0.3"/>
    <row r="46" spans="1:37" ht="14.15" customHeight="1" x14ac:dyDescent="0.3"/>
    <row r="47" spans="1:37" ht="14.15" customHeight="1" x14ac:dyDescent="0.3"/>
    <row r="48" spans="1:37" ht="14.15" customHeight="1" x14ac:dyDescent="0.3"/>
    <row r="49" ht="14.15" customHeight="1" x14ac:dyDescent="0.3"/>
    <row r="50" ht="14.15" customHeight="1" x14ac:dyDescent="0.3"/>
    <row r="51" ht="14.15" customHeight="1" x14ac:dyDescent="0.3"/>
    <row r="52" ht="14.15" customHeight="1" x14ac:dyDescent="0.3"/>
  </sheetData>
  <sheetProtection algorithmName="SHA-512" hashValue="YUcXlfRNBQ0vmVJQeUUiR4dSjkk/x3gLBATg9EN1SRUDAAeK3r7RXT1F7tZvnI4Vi6MOInlw+at7GyxoFGpmjw==" saltValue="rtkeOk+b7Gd6bKnh9O/1PQ==" spinCount="100000" sheet="1" selectLockedCells="1" selectUnlockedCells="1"/>
  <customSheetViews>
    <customSheetView guid="{168849A9-FED9-4458-942F-290616B3A25C}" scale="60" showPageBreaks="1" showGridLines="0" printArea="1" hiddenRows="1">
      <selection activeCell="A3" sqref="A3:N3"/>
      <pageMargins left="0.70866141732283472" right="0.70866141732283472" top="1.3779527559055118" bottom="0.78740157480314965" header="0.31496062992125984" footer="0.31496062992125984"/>
      <pageSetup paperSize="8" scale="95" orientation="landscape" horizontalDpi="90" verticalDpi="90" r:id="rId1"/>
      <headerFooter>
        <oddHeader>&amp;LKennzahlen KIP / IAS&amp;R&amp;G</oddHeader>
        <oddFooter>&amp;L&amp;A&amp;R&amp;P</oddFooter>
      </headerFooter>
    </customSheetView>
  </customSheetViews>
  <mergeCells count="18">
    <mergeCell ref="A3:Q3"/>
    <mergeCell ref="A1:Q1"/>
    <mergeCell ref="A5:A7"/>
    <mergeCell ref="B5:B7"/>
    <mergeCell ref="H5:L5"/>
    <mergeCell ref="M5:Q5"/>
    <mergeCell ref="C5:G5"/>
    <mergeCell ref="C6:G6"/>
    <mergeCell ref="W6:AA6"/>
    <mergeCell ref="AG6:AK6"/>
    <mergeCell ref="AG5:AK5"/>
    <mergeCell ref="H6:L6"/>
    <mergeCell ref="M6:Q6"/>
    <mergeCell ref="R6:V6"/>
    <mergeCell ref="R5:V5"/>
    <mergeCell ref="W5:AA5"/>
    <mergeCell ref="AB5:AF5"/>
    <mergeCell ref="AB6:AF6"/>
  </mergeCells>
  <pageMargins left="0.70866141732283472" right="0.70866141732283472" top="1.3779527559055118" bottom="0.78740157480314965" header="0.31496062992125984" footer="0.31496062992125984"/>
  <pageSetup paperSize="8" scale="95" orientation="landscape" horizontalDpi="90" verticalDpi="90" r:id="rId2"/>
  <headerFooter>
    <oddHeader>&amp;LKennzahlen KIP / IAS&amp;R&amp;G</oddHeader>
    <oddFooter>&amp;L&amp;A&amp;R&amp;P</oddFooter>
  </headerFooter>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theme="7"/>
  </sheetPr>
  <dimension ref="A1:AF52"/>
  <sheetViews>
    <sheetView showGridLines="0" zoomScale="70" zoomScaleNormal="70" workbookViewId="0">
      <selection activeCell="D37" sqref="D37"/>
    </sheetView>
  </sheetViews>
  <sheetFormatPr baseColWidth="10" defaultRowHeight="14" x14ac:dyDescent="0.3"/>
  <cols>
    <col min="3" max="7" width="13.08203125" customWidth="1"/>
    <col min="8" max="17" width="13.08203125" hidden="1" customWidth="1"/>
    <col min="18" max="32" width="13.08203125" customWidth="1"/>
  </cols>
  <sheetData>
    <row r="1" spans="1:32" ht="30" x14ac:dyDescent="0.3">
      <c r="A1" s="561" t="s">
        <v>156</v>
      </c>
      <c r="B1" s="561"/>
      <c r="C1" s="561"/>
      <c r="D1" s="561"/>
      <c r="E1" s="561"/>
      <c r="F1" s="561"/>
      <c r="G1" s="561"/>
      <c r="H1" s="561"/>
      <c r="I1" s="561"/>
      <c r="J1" s="561"/>
      <c r="K1" s="561"/>
      <c r="L1" s="561"/>
      <c r="M1" s="561"/>
      <c r="N1" s="561"/>
      <c r="O1" s="561"/>
      <c r="P1" s="561"/>
      <c r="Q1" s="561"/>
    </row>
    <row r="3" spans="1:32" ht="20.149999999999999" customHeight="1" x14ac:dyDescent="0.3">
      <c r="A3" s="558" t="s">
        <v>221</v>
      </c>
      <c r="B3" s="559"/>
      <c r="C3" s="559"/>
      <c r="D3" s="559"/>
      <c r="E3" s="559"/>
      <c r="F3" s="559"/>
      <c r="G3" s="559"/>
      <c r="H3" s="559"/>
      <c r="I3" s="559"/>
      <c r="J3" s="559"/>
      <c r="K3" s="559"/>
      <c r="L3" s="559"/>
      <c r="M3" s="559"/>
      <c r="N3" s="559"/>
      <c r="O3" s="559"/>
      <c r="P3" s="559"/>
      <c r="Q3" s="560"/>
      <c r="R3" s="362"/>
    </row>
    <row r="4" spans="1:32" ht="14.5" thickBot="1" x14ac:dyDescent="0.35">
      <c r="F4" s="169"/>
      <c r="K4" s="169"/>
      <c r="P4" s="169"/>
      <c r="U4" s="169"/>
      <c r="Z4" s="169"/>
      <c r="AE4" s="169"/>
    </row>
    <row r="5" spans="1:32" ht="14.5" thickBot="1" x14ac:dyDescent="0.35">
      <c r="A5" s="562" t="s">
        <v>144</v>
      </c>
      <c r="B5" s="565" t="s">
        <v>171</v>
      </c>
      <c r="C5" s="555" t="s">
        <v>146</v>
      </c>
      <c r="D5" s="556"/>
      <c r="E5" s="556"/>
      <c r="F5" s="556"/>
      <c r="G5" s="557"/>
      <c r="H5" s="555" t="s">
        <v>147</v>
      </c>
      <c r="I5" s="556"/>
      <c r="J5" s="556"/>
      <c r="K5" s="556"/>
      <c r="L5" s="557"/>
      <c r="M5" s="555" t="s">
        <v>148</v>
      </c>
      <c r="N5" s="556"/>
      <c r="O5" s="556"/>
      <c r="P5" s="556"/>
      <c r="Q5" s="557"/>
      <c r="R5" s="555" t="s">
        <v>151</v>
      </c>
      <c r="S5" s="556"/>
      <c r="T5" s="556"/>
      <c r="U5" s="556"/>
      <c r="V5" s="557"/>
      <c r="W5" s="555" t="s">
        <v>152</v>
      </c>
      <c r="X5" s="556"/>
      <c r="Y5" s="556"/>
      <c r="Z5" s="556"/>
      <c r="AA5" s="557"/>
      <c r="AB5" s="555" t="s">
        <v>153</v>
      </c>
      <c r="AC5" s="556"/>
      <c r="AD5" s="556"/>
      <c r="AE5" s="556"/>
      <c r="AF5" s="557"/>
    </row>
    <row r="6" spans="1:32" ht="59.15" customHeight="1" x14ac:dyDescent="0.3">
      <c r="A6" s="563"/>
      <c r="B6" s="566"/>
      <c r="C6" s="552" t="s">
        <v>215</v>
      </c>
      <c r="D6" s="553"/>
      <c r="E6" s="553"/>
      <c r="F6" s="553"/>
      <c r="G6" s="554"/>
      <c r="H6" s="552" t="s">
        <v>216</v>
      </c>
      <c r="I6" s="553"/>
      <c r="J6" s="553"/>
      <c r="K6" s="553"/>
      <c r="L6" s="554"/>
      <c r="M6" s="552" t="s">
        <v>217</v>
      </c>
      <c r="N6" s="553"/>
      <c r="O6" s="553"/>
      <c r="P6" s="553"/>
      <c r="Q6" s="554"/>
      <c r="R6" s="552" t="s">
        <v>218</v>
      </c>
      <c r="S6" s="553"/>
      <c r="T6" s="553"/>
      <c r="U6" s="553"/>
      <c r="V6" s="554"/>
      <c r="W6" s="552" t="s">
        <v>219</v>
      </c>
      <c r="X6" s="553"/>
      <c r="Y6" s="553"/>
      <c r="Z6" s="553"/>
      <c r="AA6" s="554"/>
      <c r="AB6" s="552" t="s">
        <v>220</v>
      </c>
      <c r="AC6" s="553"/>
      <c r="AD6" s="553"/>
      <c r="AE6" s="553"/>
      <c r="AF6" s="554"/>
    </row>
    <row r="7" spans="1:32" ht="14.15" customHeight="1" thickBot="1" x14ac:dyDescent="0.35">
      <c r="A7" s="564"/>
      <c r="B7" s="567"/>
      <c r="C7" s="174" t="s">
        <v>149</v>
      </c>
      <c r="D7" s="173" t="s">
        <v>150</v>
      </c>
      <c r="E7" s="173" t="s">
        <v>155</v>
      </c>
      <c r="F7" s="173" t="s">
        <v>121</v>
      </c>
      <c r="G7" s="175" t="s">
        <v>122</v>
      </c>
      <c r="H7" s="174" t="s">
        <v>149</v>
      </c>
      <c r="I7" s="173" t="s">
        <v>150</v>
      </c>
      <c r="J7" s="173" t="s">
        <v>155</v>
      </c>
      <c r="K7" s="173" t="s">
        <v>121</v>
      </c>
      <c r="L7" s="175" t="s">
        <v>122</v>
      </c>
      <c r="M7" s="174" t="s">
        <v>149</v>
      </c>
      <c r="N7" s="173" t="s">
        <v>150</v>
      </c>
      <c r="O7" s="173" t="s">
        <v>155</v>
      </c>
      <c r="P7" s="173" t="s">
        <v>121</v>
      </c>
      <c r="Q7" s="175" t="s">
        <v>122</v>
      </c>
      <c r="R7" s="174" t="s">
        <v>149</v>
      </c>
      <c r="S7" s="173" t="s">
        <v>150</v>
      </c>
      <c r="T7" s="173" t="s">
        <v>155</v>
      </c>
      <c r="U7" s="173" t="s">
        <v>121</v>
      </c>
      <c r="V7" s="175" t="s">
        <v>122</v>
      </c>
      <c r="W7" s="174" t="s">
        <v>149</v>
      </c>
      <c r="X7" s="173" t="s">
        <v>150</v>
      </c>
      <c r="Y7" s="173" t="s">
        <v>155</v>
      </c>
      <c r="Z7" s="173" t="s">
        <v>121</v>
      </c>
      <c r="AA7" s="175" t="s">
        <v>122</v>
      </c>
      <c r="AB7" s="174" t="s">
        <v>149</v>
      </c>
      <c r="AC7" s="173" t="s">
        <v>150</v>
      </c>
      <c r="AD7" s="173" t="s">
        <v>155</v>
      </c>
      <c r="AE7" s="173" t="s">
        <v>121</v>
      </c>
      <c r="AF7" s="175" t="s">
        <v>122</v>
      </c>
    </row>
    <row r="8" spans="1:32" ht="14.15" customHeight="1" x14ac:dyDescent="0.3">
      <c r="A8" s="177" t="s">
        <v>36</v>
      </c>
      <c r="B8" s="178">
        <v>45291</v>
      </c>
      <c r="C8" s="325">
        <v>15030</v>
      </c>
      <c r="D8" s="325">
        <v>11942</v>
      </c>
      <c r="E8" s="180">
        <v>46986</v>
      </c>
      <c r="F8" s="180">
        <v>10445</v>
      </c>
      <c r="G8" s="180">
        <v>16527</v>
      </c>
      <c r="H8" s="179"/>
      <c r="I8" s="179"/>
      <c r="J8" s="179"/>
      <c r="K8" s="179"/>
      <c r="L8" s="179"/>
      <c r="M8" s="179"/>
      <c r="N8" s="179"/>
      <c r="O8" s="179"/>
      <c r="P8" s="179"/>
      <c r="Q8" s="179"/>
      <c r="R8" s="179">
        <v>2553</v>
      </c>
      <c r="S8" s="179">
        <v>7157</v>
      </c>
      <c r="T8" s="179">
        <v>7176</v>
      </c>
      <c r="U8" s="325">
        <v>1799</v>
      </c>
      <c r="V8" s="325">
        <v>7911</v>
      </c>
      <c r="W8" s="179">
        <v>11976</v>
      </c>
      <c r="X8" s="179">
        <v>4318</v>
      </c>
      <c r="Y8" s="179">
        <v>28471</v>
      </c>
      <c r="Z8" s="325">
        <v>8169</v>
      </c>
      <c r="AA8" s="325">
        <v>8125</v>
      </c>
      <c r="AB8" s="179">
        <v>17012</v>
      </c>
      <c r="AC8" s="179">
        <v>13672</v>
      </c>
      <c r="AD8" s="179">
        <v>48765</v>
      </c>
      <c r="AE8" s="179">
        <v>11635</v>
      </c>
      <c r="AF8" s="363">
        <v>19049</v>
      </c>
    </row>
    <row r="9" spans="1:32" ht="14.15" customHeight="1" x14ac:dyDescent="0.3">
      <c r="A9" s="136" t="s">
        <v>7</v>
      </c>
      <c r="B9" s="135">
        <v>45291</v>
      </c>
      <c r="C9" s="257">
        <v>1397</v>
      </c>
      <c r="D9" s="259">
        <v>953</v>
      </c>
      <c r="E9" s="259">
        <v>3512</v>
      </c>
      <c r="F9" s="131">
        <v>868</v>
      </c>
      <c r="G9" s="132">
        <v>1482</v>
      </c>
      <c r="H9" s="130"/>
      <c r="I9" s="131"/>
      <c r="J9" s="131"/>
      <c r="K9" s="131"/>
      <c r="L9" s="172"/>
      <c r="M9" s="130"/>
      <c r="N9" s="131"/>
      <c r="O9" s="131"/>
      <c r="P9" s="131"/>
      <c r="Q9" s="132"/>
      <c r="R9" s="257">
        <v>217</v>
      </c>
      <c r="S9" s="259">
        <v>611</v>
      </c>
      <c r="T9" s="259">
        <v>525</v>
      </c>
      <c r="U9" s="259">
        <v>148</v>
      </c>
      <c r="V9" s="260">
        <v>680</v>
      </c>
      <c r="W9" s="130">
        <v>1127</v>
      </c>
      <c r="X9" s="131">
        <v>314</v>
      </c>
      <c r="Y9" s="131">
        <v>2210</v>
      </c>
      <c r="Z9" s="259">
        <v>693</v>
      </c>
      <c r="AA9" s="260">
        <v>748</v>
      </c>
      <c r="AB9" s="257">
        <v>1586</v>
      </c>
      <c r="AC9" s="259">
        <v>1113</v>
      </c>
      <c r="AD9" s="259">
        <v>3640</v>
      </c>
      <c r="AE9" s="259">
        <v>991</v>
      </c>
      <c r="AF9" s="260">
        <v>1708</v>
      </c>
    </row>
    <row r="10" spans="1:32" ht="14.15" customHeight="1" x14ac:dyDescent="0.3">
      <c r="A10" s="136" t="s">
        <v>6</v>
      </c>
      <c r="B10" s="135">
        <v>45291</v>
      </c>
      <c r="C10" s="258">
        <v>47</v>
      </c>
      <c r="D10" s="259">
        <v>29</v>
      </c>
      <c r="E10" s="259">
        <v>93</v>
      </c>
      <c r="F10" s="131">
        <v>26</v>
      </c>
      <c r="G10" s="132">
        <v>50</v>
      </c>
      <c r="H10" s="133"/>
      <c r="I10" s="131"/>
      <c r="J10" s="131"/>
      <c r="K10" s="131"/>
      <c r="L10" s="131"/>
      <c r="M10" s="133"/>
      <c r="N10" s="134"/>
      <c r="O10" s="131"/>
      <c r="P10" s="131"/>
      <c r="Q10" s="132"/>
      <c r="R10" s="258">
        <v>12</v>
      </c>
      <c r="S10" s="261">
        <v>19</v>
      </c>
      <c r="T10" s="261">
        <v>13</v>
      </c>
      <c r="U10" s="261">
        <v>5</v>
      </c>
      <c r="V10" s="260">
        <v>26</v>
      </c>
      <c r="W10" s="133">
        <v>34</v>
      </c>
      <c r="X10" s="134">
        <v>9</v>
      </c>
      <c r="Y10" s="134">
        <v>63</v>
      </c>
      <c r="Z10" s="261">
        <v>20</v>
      </c>
      <c r="AA10" s="260">
        <v>23</v>
      </c>
      <c r="AB10" s="258">
        <v>49</v>
      </c>
      <c r="AC10" s="261">
        <v>31</v>
      </c>
      <c r="AD10" s="261">
        <v>97</v>
      </c>
      <c r="AE10" s="261">
        <v>27</v>
      </c>
      <c r="AF10" s="260">
        <v>53</v>
      </c>
    </row>
    <row r="11" spans="1:32" ht="14.15" customHeight="1" x14ac:dyDescent="0.3">
      <c r="A11" s="136" t="s">
        <v>5</v>
      </c>
      <c r="B11" s="135">
        <v>45291</v>
      </c>
      <c r="C11" s="258">
        <v>121</v>
      </c>
      <c r="D11" s="259">
        <v>98</v>
      </c>
      <c r="E11" s="259">
        <v>256</v>
      </c>
      <c r="F11" s="131">
        <v>83</v>
      </c>
      <c r="G11" s="132">
        <v>136</v>
      </c>
      <c r="H11" s="133"/>
      <c r="I11" s="131"/>
      <c r="J11" s="131"/>
      <c r="K11" s="131"/>
      <c r="L11" s="131"/>
      <c r="M11" s="133"/>
      <c r="N11" s="134"/>
      <c r="O11" s="131"/>
      <c r="P11" s="131"/>
      <c r="Q11" s="132"/>
      <c r="R11" s="258">
        <v>16</v>
      </c>
      <c r="S11" s="261">
        <v>59</v>
      </c>
      <c r="T11" s="261">
        <v>34</v>
      </c>
      <c r="U11" s="261">
        <v>16</v>
      </c>
      <c r="V11" s="260">
        <v>59</v>
      </c>
      <c r="W11" s="133">
        <v>103</v>
      </c>
      <c r="X11" s="134">
        <v>35</v>
      </c>
      <c r="Y11" s="134">
        <v>153</v>
      </c>
      <c r="Z11" s="261">
        <v>65</v>
      </c>
      <c r="AA11" s="260">
        <v>73</v>
      </c>
      <c r="AB11" s="258">
        <v>138</v>
      </c>
      <c r="AC11" s="261">
        <v>106</v>
      </c>
      <c r="AD11" s="261">
        <v>276</v>
      </c>
      <c r="AE11" s="261">
        <v>89</v>
      </c>
      <c r="AF11" s="260">
        <v>155</v>
      </c>
    </row>
    <row r="12" spans="1:32" ht="14.15" customHeight="1" x14ac:dyDescent="0.3">
      <c r="A12" s="136" t="s">
        <v>8</v>
      </c>
      <c r="B12" s="135">
        <v>45291</v>
      </c>
      <c r="C12" s="258">
        <v>1885</v>
      </c>
      <c r="D12" s="259">
        <v>1484</v>
      </c>
      <c r="E12" s="259">
        <v>5612</v>
      </c>
      <c r="F12" s="131">
        <v>1318</v>
      </c>
      <c r="G12" s="132">
        <v>2051</v>
      </c>
      <c r="H12" s="133"/>
      <c r="I12" s="131"/>
      <c r="J12" s="131"/>
      <c r="K12" s="131"/>
      <c r="L12" s="131"/>
      <c r="M12" s="133"/>
      <c r="N12" s="134"/>
      <c r="O12" s="131"/>
      <c r="P12" s="131"/>
      <c r="Q12" s="132"/>
      <c r="R12" s="258">
        <v>284</v>
      </c>
      <c r="S12" s="261">
        <v>877</v>
      </c>
      <c r="T12" s="261">
        <v>864</v>
      </c>
      <c r="U12" s="261">
        <v>206</v>
      </c>
      <c r="V12" s="260">
        <v>955</v>
      </c>
      <c r="W12" s="133">
        <v>1531</v>
      </c>
      <c r="X12" s="134">
        <v>554</v>
      </c>
      <c r="Y12" s="134">
        <v>3393</v>
      </c>
      <c r="Z12" s="261">
        <v>1048</v>
      </c>
      <c r="AA12" s="260">
        <v>1037</v>
      </c>
      <c r="AB12" s="258">
        <v>2150</v>
      </c>
      <c r="AC12" s="261">
        <v>1716</v>
      </c>
      <c r="AD12" s="261">
        <v>5859</v>
      </c>
      <c r="AE12" s="261">
        <v>1483</v>
      </c>
      <c r="AF12" s="260">
        <v>2383</v>
      </c>
    </row>
    <row r="13" spans="1:32" ht="14.15" customHeight="1" x14ac:dyDescent="0.3">
      <c r="A13" s="136" t="s">
        <v>9</v>
      </c>
      <c r="B13" s="135">
        <v>45291</v>
      </c>
      <c r="C13" s="258">
        <v>359</v>
      </c>
      <c r="D13" s="259">
        <v>343</v>
      </c>
      <c r="E13" s="259">
        <v>1684</v>
      </c>
      <c r="F13" s="131">
        <v>272</v>
      </c>
      <c r="G13" s="132">
        <v>430</v>
      </c>
      <c r="H13" s="133"/>
      <c r="I13" s="134"/>
      <c r="J13" s="131"/>
      <c r="K13" s="131"/>
      <c r="L13" s="131"/>
      <c r="M13" s="133"/>
      <c r="N13" s="134"/>
      <c r="O13" s="131"/>
      <c r="P13" s="131"/>
      <c r="Q13" s="132"/>
      <c r="R13" s="258">
        <v>91</v>
      </c>
      <c r="S13" s="261">
        <v>221</v>
      </c>
      <c r="T13" s="261">
        <v>227</v>
      </c>
      <c r="U13" s="261">
        <v>61</v>
      </c>
      <c r="V13" s="260">
        <v>251</v>
      </c>
      <c r="W13" s="133">
        <v>257</v>
      </c>
      <c r="X13" s="134">
        <v>114</v>
      </c>
      <c r="Y13" s="134">
        <v>1031</v>
      </c>
      <c r="Z13" s="261">
        <v>202</v>
      </c>
      <c r="AA13" s="260">
        <v>169</v>
      </c>
      <c r="AB13" s="258">
        <v>418</v>
      </c>
      <c r="AC13" s="261">
        <v>396</v>
      </c>
      <c r="AD13" s="261">
        <v>1751</v>
      </c>
      <c r="AE13" s="261">
        <v>301</v>
      </c>
      <c r="AF13" s="260">
        <v>513</v>
      </c>
    </row>
    <row r="14" spans="1:32" ht="14.15" customHeight="1" x14ac:dyDescent="0.3">
      <c r="A14" s="136" t="s">
        <v>10</v>
      </c>
      <c r="B14" s="135">
        <v>45291</v>
      </c>
      <c r="C14" s="258">
        <v>336</v>
      </c>
      <c r="D14" s="259">
        <v>225</v>
      </c>
      <c r="E14" s="259">
        <v>1238</v>
      </c>
      <c r="F14" s="131">
        <v>241</v>
      </c>
      <c r="G14" s="132">
        <v>320</v>
      </c>
      <c r="H14" s="133"/>
      <c r="I14" s="134"/>
      <c r="J14" s="131"/>
      <c r="K14" s="131"/>
      <c r="L14" s="131"/>
      <c r="M14" s="133"/>
      <c r="N14" s="134"/>
      <c r="O14" s="131"/>
      <c r="P14" s="131"/>
      <c r="Q14" s="132"/>
      <c r="R14" s="258">
        <v>71</v>
      </c>
      <c r="S14" s="261">
        <v>117</v>
      </c>
      <c r="T14" s="261">
        <v>199</v>
      </c>
      <c r="U14" s="261">
        <v>41</v>
      </c>
      <c r="V14" s="260">
        <v>147</v>
      </c>
      <c r="W14" s="133">
        <v>246</v>
      </c>
      <c r="X14" s="134">
        <v>86</v>
      </c>
      <c r="Y14" s="131">
        <v>721</v>
      </c>
      <c r="Z14" s="259">
        <v>178</v>
      </c>
      <c r="AA14" s="260">
        <v>154</v>
      </c>
      <c r="AB14" s="258">
        <v>371</v>
      </c>
      <c r="AC14" s="261">
        <v>271</v>
      </c>
      <c r="AD14" s="259">
        <v>1278</v>
      </c>
      <c r="AE14" s="259">
        <v>262</v>
      </c>
      <c r="AF14" s="260">
        <v>380</v>
      </c>
    </row>
    <row r="15" spans="1:32" ht="14.15" customHeight="1" x14ac:dyDescent="0.3">
      <c r="A15" s="136" t="s">
        <v>11</v>
      </c>
      <c r="B15" s="135">
        <v>45291</v>
      </c>
      <c r="C15" s="258">
        <v>466</v>
      </c>
      <c r="D15" s="259">
        <v>438</v>
      </c>
      <c r="E15" s="259">
        <v>1756</v>
      </c>
      <c r="F15" s="131">
        <v>353</v>
      </c>
      <c r="G15" s="132">
        <v>551</v>
      </c>
      <c r="H15" s="133"/>
      <c r="I15" s="134"/>
      <c r="J15" s="131"/>
      <c r="K15" s="131"/>
      <c r="L15" s="131"/>
      <c r="M15" s="133"/>
      <c r="N15" s="134"/>
      <c r="O15" s="131"/>
      <c r="P15" s="131"/>
      <c r="Q15" s="132"/>
      <c r="R15" s="258">
        <v>85</v>
      </c>
      <c r="S15" s="261">
        <v>256</v>
      </c>
      <c r="T15" s="259">
        <v>310</v>
      </c>
      <c r="U15" s="259">
        <v>54</v>
      </c>
      <c r="V15" s="260">
        <v>287</v>
      </c>
      <c r="W15" s="133">
        <v>362</v>
      </c>
      <c r="X15" s="134">
        <v>161</v>
      </c>
      <c r="Y15" s="131">
        <v>1019</v>
      </c>
      <c r="Z15" s="259">
        <v>280</v>
      </c>
      <c r="AA15" s="260">
        <v>243</v>
      </c>
      <c r="AB15" s="258">
        <v>537</v>
      </c>
      <c r="AC15" s="261">
        <v>502</v>
      </c>
      <c r="AD15" s="259">
        <v>1838</v>
      </c>
      <c r="AE15" s="259">
        <v>396</v>
      </c>
      <c r="AF15" s="260">
        <v>643</v>
      </c>
    </row>
    <row r="16" spans="1:32" ht="14.15" customHeight="1" x14ac:dyDescent="0.3">
      <c r="A16" s="136" t="s">
        <v>12</v>
      </c>
      <c r="B16" s="135">
        <v>45291</v>
      </c>
      <c r="C16" s="258">
        <v>1117</v>
      </c>
      <c r="D16" s="259">
        <v>786</v>
      </c>
      <c r="E16" s="259">
        <v>3139</v>
      </c>
      <c r="F16" s="131">
        <v>810</v>
      </c>
      <c r="G16" s="132">
        <v>1093</v>
      </c>
      <c r="H16" s="133"/>
      <c r="I16" s="134"/>
      <c r="J16" s="131"/>
      <c r="K16" s="131"/>
      <c r="L16" s="131"/>
      <c r="M16" s="133"/>
      <c r="N16" s="134"/>
      <c r="O16" s="131"/>
      <c r="P16" s="131"/>
      <c r="Q16" s="132"/>
      <c r="R16" s="258">
        <v>183</v>
      </c>
      <c r="S16" s="261">
        <v>379</v>
      </c>
      <c r="T16" s="259">
        <v>415</v>
      </c>
      <c r="U16" s="259">
        <v>128</v>
      </c>
      <c r="V16" s="260">
        <v>434</v>
      </c>
      <c r="W16" s="133">
        <v>896</v>
      </c>
      <c r="X16" s="134">
        <v>362</v>
      </c>
      <c r="Y16" s="131">
        <v>1862</v>
      </c>
      <c r="Z16" s="259">
        <v>638</v>
      </c>
      <c r="AA16" s="260">
        <v>620</v>
      </c>
      <c r="AB16" s="258">
        <v>1247</v>
      </c>
      <c r="AC16" s="261">
        <v>907</v>
      </c>
      <c r="AD16" s="259">
        <v>3240</v>
      </c>
      <c r="AE16" s="259">
        <v>887</v>
      </c>
      <c r="AF16" s="260">
        <v>1267</v>
      </c>
    </row>
    <row r="17" spans="1:32" ht="14.15" customHeight="1" x14ac:dyDescent="0.3">
      <c r="A17" s="136" t="s">
        <v>3</v>
      </c>
      <c r="B17" s="135">
        <v>45291</v>
      </c>
      <c r="C17" s="258">
        <v>74</v>
      </c>
      <c r="D17" s="259">
        <v>80</v>
      </c>
      <c r="E17" s="259">
        <v>210</v>
      </c>
      <c r="F17" s="131">
        <v>53</v>
      </c>
      <c r="G17" s="132">
        <v>101</v>
      </c>
      <c r="H17" s="133"/>
      <c r="I17" s="134"/>
      <c r="J17" s="131"/>
      <c r="K17" s="131"/>
      <c r="L17" s="131"/>
      <c r="M17" s="133"/>
      <c r="N17" s="134"/>
      <c r="O17" s="131"/>
      <c r="P17" s="131"/>
      <c r="Q17" s="132"/>
      <c r="R17" s="258">
        <v>10</v>
      </c>
      <c r="S17" s="261">
        <v>47</v>
      </c>
      <c r="T17" s="259">
        <v>37</v>
      </c>
      <c r="U17" s="259">
        <v>8</v>
      </c>
      <c r="V17" s="260">
        <v>49</v>
      </c>
      <c r="W17" s="133">
        <v>61</v>
      </c>
      <c r="X17" s="134">
        <v>33</v>
      </c>
      <c r="Y17" s="131">
        <v>119</v>
      </c>
      <c r="Z17" s="259">
        <v>44</v>
      </c>
      <c r="AA17" s="260">
        <v>50</v>
      </c>
      <c r="AB17" s="258">
        <v>85</v>
      </c>
      <c r="AC17" s="261">
        <v>88</v>
      </c>
      <c r="AD17" s="259">
        <v>215</v>
      </c>
      <c r="AE17" s="259">
        <v>59</v>
      </c>
      <c r="AF17" s="260">
        <v>114</v>
      </c>
    </row>
    <row r="18" spans="1:32" ht="14.15" customHeight="1" x14ac:dyDescent="0.3">
      <c r="A18" s="136" t="s">
        <v>13</v>
      </c>
      <c r="B18" s="135">
        <v>45291</v>
      </c>
      <c r="C18" s="258">
        <v>397</v>
      </c>
      <c r="D18" s="259">
        <v>303</v>
      </c>
      <c r="E18" s="259">
        <v>896</v>
      </c>
      <c r="F18" s="131">
        <v>264</v>
      </c>
      <c r="G18" s="132">
        <v>436</v>
      </c>
      <c r="H18" s="133"/>
      <c r="I18" s="134"/>
      <c r="J18" s="131"/>
      <c r="K18" s="131"/>
      <c r="L18" s="131"/>
      <c r="M18" s="133"/>
      <c r="N18" s="134"/>
      <c r="O18" s="131"/>
      <c r="P18" s="131"/>
      <c r="Q18" s="132"/>
      <c r="R18" s="258">
        <v>67</v>
      </c>
      <c r="S18" s="261">
        <v>194</v>
      </c>
      <c r="T18" s="259">
        <v>116</v>
      </c>
      <c r="U18" s="259">
        <v>52</v>
      </c>
      <c r="V18" s="260">
        <v>209</v>
      </c>
      <c r="W18" s="133">
        <v>314</v>
      </c>
      <c r="X18" s="134">
        <v>101</v>
      </c>
      <c r="Y18" s="131">
        <v>567</v>
      </c>
      <c r="Z18" s="259">
        <v>204</v>
      </c>
      <c r="AA18" s="260">
        <v>211</v>
      </c>
      <c r="AB18" s="258">
        <v>453</v>
      </c>
      <c r="AC18" s="261">
        <v>346</v>
      </c>
      <c r="AD18" s="259">
        <v>924</v>
      </c>
      <c r="AE18" s="259">
        <v>299</v>
      </c>
      <c r="AF18" s="260">
        <v>500</v>
      </c>
    </row>
    <row r="19" spans="1:32" ht="14.15" customHeight="1" x14ac:dyDescent="0.3">
      <c r="A19" s="136" t="s">
        <v>14</v>
      </c>
      <c r="B19" s="135">
        <v>45291</v>
      </c>
      <c r="C19" s="258">
        <v>195</v>
      </c>
      <c r="D19" s="259">
        <v>106</v>
      </c>
      <c r="E19" s="259">
        <v>387</v>
      </c>
      <c r="F19" s="131">
        <v>134</v>
      </c>
      <c r="G19" s="132">
        <v>167</v>
      </c>
      <c r="H19" s="133"/>
      <c r="I19" s="134"/>
      <c r="J19" s="131"/>
      <c r="K19" s="131"/>
      <c r="L19" s="131"/>
      <c r="M19" s="133"/>
      <c r="N19" s="134"/>
      <c r="O19" s="131"/>
      <c r="P19" s="131"/>
      <c r="Q19" s="132"/>
      <c r="R19" s="258">
        <v>24</v>
      </c>
      <c r="S19" s="261">
        <v>61</v>
      </c>
      <c r="T19" s="259">
        <v>51</v>
      </c>
      <c r="U19" s="259">
        <v>10</v>
      </c>
      <c r="V19" s="260">
        <v>75</v>
      </c>
      <c r="W19" s="133">
        <v>164</v>
      </c>
      <c r="X19" s="134">
        <v>40</v>
      </c>
      <c r="Y19" s="131">
        <v>230</v>
      </c>
      <c r="Z19" s="259">
        <v>118</v>
      </c>
      <c r="AA19" s="260">
        <v>86</v>
      </c>
      <c r="AB19" s="258">
        <v>230</v>
      </c>
      <c r="AC19" s="261">
        <v>124</v>
      </c>
      <c r="AD19" s="259">
        <v>405</v>
      </c>
      <c r="AE19" s="259">
        <v>152</v>
      </c>
      <c r="AF19" s="260">
        <v>202</v>
      </c>
    </row>
    <row r="20" spans="1:32" ht="14.15" customHeight="1" x14ac:dyDescent="0.3">
      <c r="A20" s="136" t="s">
        <v>15</v>
      </c>
      <c r="B20" s="135">
        <v>45291</v>
      </c>
      <c r="C20" s="258">
        <v>823</v>
      </c>
      <c r="D20" s="259">
        <v>586</v>
      </c>
      <c r="E20" s="259">
        <v>2289</v>
      </c>
      <c r="F20" s="131">
        <v>545</v>
      </c>
      <c r="G20" s="132">
        <v>864</v>
      </c>
      <c r="H20" s="133"/>
      <c r="I20" s="134"/>
      <c r="J20" s="131"/>
      <c r="K20" s="131"/>
      <c r="L20" s="131"/>
      <c r="M20" s="133"/>
      <c r="N20" s="134"/>
      <c r="O20" s="131"/>
      <c r="P20" s="131"/>
      <c r="Q20" s="132"/>
      <c r="R20" s="258">
        <v>132</v>
      </c>
      <c r="S20" s="261">
        <v>353</v>
      </c>
      <c r="T20" s="259">
        <v>400</v>
      </c>
      <c r="U20" s="259">
        <v>98</v>
      </c>
      <c r="V20" s="260">
        <v>387</v>
      </c>
      <c r="W20" s="133">
        <v>669</v>
      </c>
      <c r="X20" s="134">
        <v>214</v>
      </c>
      <c r="Y20" s="131">
        <v>1413</v>
      </c>
      <c r="Z20" s="259">
        <v>427</v>
      </c>
      <c r="AA20" s="260">
        <v>456</v>
      </c>
      <c r="AB20" s="258">
        <v>931</v>
      </c>
      <c r="AC20" s="261">
        <v>669</v>
      </c>
      <c r="AD20" s="259">
        <v>2367</v>
      </c>
      <c r="AE20" s="259">
        <v>594</v>
      </c>
      <c r="AF20" s="260">
        <v>1006</v>
      </c>
    </row>
    <row r="21" spans="1:32" ht="14.15" customHeight="1" x14ac:dyDescent="0.3">
      <c r="A21" s="136" t="s">
        <v>16</v>
      </c>
      <c r="B21" s="135">
        <v>45291</v>
      </c>
      <c r="C21" s="258">
        <v>257</v>
      </c>
      <c r="D21" s="259">
        <v>210</v>
      </c>
      <c r="E21" s="259">
        <v>928</v>
      </c>
      <c r="F21" s="131">
        <v>212</v>
      </c>
      <c r="G21" s="132">
        <v>255</v>
      </c>
      <c r="H21" s="133"/>
      <c r="I21" s="134"/>
      <c r="J21" s="131"/>
      <c r="K21" s="131"/>
      <c r="L21" s="131"/>
      <c r="M21" s="133"/>
      <c r="N21" s="134"/>
      <c r="O21" s="131"/>
      <c r="P21" s="131"/>
      <c r="Q21" s="132"/>
      <c r="R21" s="258">
        <v>45</v>
      </c>
      <c r="S21" s="261">
        <v>109</v>
      </c>
      <c r="T21" s="259">
        <v>146</v>
      </c>
      <c r="U21" s="259">
        <v>29</v>
      </c>
      <c r="V21" s="260">
        <v>125</v>
      </c>
      <c r="W21" s="133">
        <v>204</v>
      </c>
      <c r="X21" s="134">
        <v>84</v>
      </c>
      <c r="Y21" s="131">
        <v>567</v>
      </c>
      <c r="Z21" s="259">
        <v>168</v>
      </c>
      <c r="AA21" s="260">
        <v>120</v>
      </c>
      <c r="AB21" s="258">
        <v>291</v>
      </c>
      <c r="AC21" s="261">
        <v>241</v>
      </c>
      <c r="AD21" s="259">
        <v>972</v>
      </c>
      <c r="AE21" s="259">
        <v>234</v>
      </c>
      <c r="AF21" s="260">
        <v>298</v>
      </c>
    </row>
    <row r="22" spans="1:32" ht="14.15" customHeight="1" x14ac:dyDescent="0.3">
      <c r="A22" s="136" t="s">
        <v>17</v>
      </c>
      <c r="B22" s="135">
        <v>45291</v>
      </c>
      <c r="C22" s="258">
        <v>109</v>
      </c>
      <c r="D22" s="259">
        <v>72</v>
      </c>
      <c r="E22" s="259">
        <v>208</v>
      </c>
      <c r="F22" s="131">
        <v>76</v>
      </c>
      <c r="G22" s="132">
        <v>105</v>
      </c>
      <c r="H22" s="133"/>
      <c r="I22" s="134"/>
      <c r="J22" s="131"/>
      <c r="K22" s="131"/>
      <c r="L22" s="131"/>
      <c r="M22" s="133"/>
      <c r="N22" s="134"/>
      <c r="O22" s="131"/>
      <c r="P22" s="131"/>
      <c r="Q22" s="132"/>
      <c r="R22" s="258">
        <v>19</v>
      </c>
      <c r="S22" s="261">
        <v>38</v>
      </c>
      <c r="T22" s="259">
        <v>31</v>
      </c>
      <c r="U22" s="259">
        <v>19</v>
      </c>
      <c r="V22" s="260">
        <v>38</v>
      </c>
      <c r="W22" s="133">
        <v>87</v>
      </c>
      <c r="X22" s="134">
        <v>32</v>
      </c>
      <c r="Y22" s="131">
        <v>122</v>
      </c>
      <c r="Z22" s="259">
        <v>55</v>
      </c>
      <c r="AA22" s="260">
        <v>64</v>
      </c>
      <c r="AB22" s="258">
        <v>120</v>
      </c>
      <c r="AC22" s="261">
        <v>77</v>
      </c>
      <c r="AD22" s="259">
        <v>218</v>
      </c>
      <c r="AE22" s="259">
        <v>81</v>
      </c>
      <c r="AF22" s="260">
        <v>116</v>
      </c>
    </row>
    <row r="23" spans="1:32" ht="14.15" customHeight="1" x14ac:dyDescent="0.3">
      <c r="A23" s="136" t="s">
        <v>18</v>
      </c>
      <c r="B23" s="135">
        <v>45291</v>
      </c>
      <c r="C23" s="258">
        <v>35</v>
      </c>
      <c r="D23" s="259">
        <v>42</v>
      </c>
      <c r="E23" s="259">
        <v>150</v>
      </c>
      <c r="F23" s="131">
        <v>34</v>
      </c>
      <c r="G23" s="132">
        <v>43</v>
      </c>
      <c r="H23" s="133"/>
      <c r="I23" s="134"/>
      <c r="J23" s="131"/>
      <c r="K23" s="131"/>
      <c r="L23" s="131"/>
      <c r="M23" s="133"/>
      <c r="N23" s="134"/>
      <c r="O23" s="131"/>
      <c r="P23" s="131"/>
      <c r="Q23" s="132"/>
      <c r="R23" s="258">
        <v>4</v>
      </c>
      <c r="S23" s="261">
        <v>21</v>
      </c>
      <c r="T23" s="259">
        <v>21</v>
      </c>
      <c r="U23" s="259">
        <v>8</v>
      </c>
      <c r="V23" s="260">
        <v>17</v>
      </c>
      <c r="W23" s="133">
        <v>29</v>
      </c>
      <c r="X23" s="134">
        <v>20</v>
      </c>
      <c r="Y23" s="131">
        <v>98</v>
      </c>
      <c r="Z23" s="259">
        <v>25</v>
      </c>
      <c r="AA23" s="260">
        <v>24</v>
      </c>
      <c r="AB23" s="258">
        <v>38</v>
      </c>
      <c r="AC23" s="261">
        <v>42</v>
      </c>
      <c r="AD23" s="259">
        <v>154</v>
      </c>
      <c r="AE23" s="259">
        <v>35</v>
      </c>
      <c r="AF23" s="260">
        <v>45</v>
      </c>
    </row>
    <row r="24" spans="1:32" ht="14.15" customHeight="1" x14ac:dyDescent="0.3">
      <c r="A24" s="136" t="s">
        <v>19</v>
      </c>
      <c r="B24" s="135">
        <v>45291</v>
      </c>
      <c r="C24" s="258">
        <v>814</v>
      </c>
      <c r="D24" s="259">
        <v>743</v>
      </c>
      <c r="E24" s="259">
        <v>2872</v>
      </c>
      <c r="F24" s="131">
        <v>554</v>
      </c>
      <c r="G24" s="132">
        <v>1003</v>
      </c>
      <c r="H24" s="133"/>
      <c r="I24" s="134"/>
      <c r="J24" s="131"/>
      <c r="K24" s="131"/>
      <c r="L24" s="131"/>
      <c r="M24" s="133"/>
      <c r="N24" s="134"/>
      <c r="O24" s="131"/>
      <c r="P24" s="131"/>
      <c r="Q24" s="132"/>
      <c r="R24" s="258">
        <v>133</v>
      </c>
      <c r="S24" s="261">
        <v>452</v>
      </c>
      <c r="T24" s="259">
        <v>474</v>
      </c>
      <c r="U24" s="259">
        <v>89</v>
      </c>
      <c r="V24" s="260">
        <v>496</v>
      </c>
      <c r="W24" s="133">
        <v>657</v>
      </c>
      <c r="X24" s="134">
        <v>268</v>
      </c>
      <c r="Y24" s="131">
        <v>1737</v>
      </c>
      <c r="Z24" s="259">
        <v>438</v>
      </c>
      <c r="AA24" s="260">
        <v>487</v>
      </c>
      <c r="AB24" s="258">
        <v>915</v>
      </c>
      <c r="AC24" s="261">
        <v>845</v>
      </c>
      <c r="AD24" s="259">
        <v>2973</v>
      </c>
      <c r="AE24" s="259">
        <v>623</v>
      </c>
      <c r="AF24" s="260">
        <v>1137</v>
      </c>
    </row>
    <row r="25" spans="1:32" ht="14.15" customHeight="1" x14ac:dyDescent="0.3">
      <c r="A25" s="136" t="s">
        <v>20</v>
      </c>
      <c r="B25" s="135">
        <v>45291</v>
      </c>
      <c r="C25" s="258">
        <v>212</v>
      </c>
      <c r="D25" s="259">
        <v>158</v>
      </c>
      <c r="E25" s="259">
        <v>495</v>
      </c>
      <c r="F25" s="131">
        <v>150</v>
      </c>
      <c r="G25" s="132">
        <v>220</v>
      </c>
      <c r="H25" s="133"/>
      <c r="I25" s="134"/>
      <c r="J25" s="131"/>
      <c r="K25" s="131"/>
      <c r="L25" s="131"/>
      <c r="M25" s="133"/>
      <c r="N25" s="134"/>
      <c r="O25" s="131"/>
      <c r="P25" s="131"/>
      <c r="Q25" s="132"/>
      <c r="R25" s="258">
        <v>45</v>
      </c>
      <c r="S25" s="261">
        <v>95</v>
      </c>
      <c r="T25" s="259">
        <v>58</v>
      </c>
      <c r="U25" s="259">
        <v>31</v>
      </c>
      <c r="V25" s="260">
        <v>109</v>
      </c>
      <c r="W25" s="133">
        <v>158</v>
      </c>
      <c r="X25" s="134">
        <v>54</v>
      </c>
      <c r="Y25" s="131">
        <v>312</v>
      </c>
      <c r="Z25" s="259">
        <v>109</v>
      </c>
      <c r="AA25" s="260">
        <v>103</v>
      </c>
      <c r="AB25" s="258">
        <v>232</v>
      </c>
      <c r="AC25" s="261">
        <v>175</v>
      </c>
      <c r="AD25" s="259">
        <v>508</v>
      </c>
      <c r="AE25" s="259">
        <v>161</v>
      </c>
      <c r="AF25" s="260">
        <v>246</v>
      </c>
    </row>
    <row r="26" spans="1:32" ht="14.15" customHeight="1" x14ac:dyDescent="0.3">
      <c r="A26" s="136" t="s">
        <v>21</v>
      </c>
      <c r="B26" s="135">
        <v>45291</v>
      </c>
      <c r="C26" s="258">
        <v>516</v>
      </c>
      <c r="D26" s="259">
        <v>355</v>
      </c>
      <c r="E26" s="259">
        <v>1490</v>
      </c>
      <c r="F26" s="131">
        <v>348</v>
      </c>
      <c r="G26" s="132">
        <v>523</v>
      </c>
      <c r="H26" s="133"/>
      <c r="I26" s="134"/>
      <c r="J26" s="131"/>
      <c r="K26" s="131"/>
      <c r="L26" s="131"/>
      <c r="M26" s="133"/>
      <c r="N26" s="134"/>
      <c r="O26" s="131"/>
      <c r="P26" s="131"/>
      <c r="Q26" s="132"/>
      <c r="R26" s="258">
        <v>97</v>
      </c>
      <c r="S26" s="261">
        <v>233</v>
      </c>
      <c r="T26" s="259">
        <v>229</v>
      </c>
      <c r="U26" s="259">
        <v>74</v>
      </c>
      <c r="V26" s="260">
        <v>256</v>
      </c>
      <c r="W26" s="133">
        <v>397</v>
      </c>
      <c r="X26" s="134">
        <v>115</v>
      </c>
      <c r="Y26" s="131">
        <v>910</v>
      </c>
      <c r="Z26" s="259">
        <v>262</v>
      </c>
      <c r="AA26" s="260">
        <v>250</v>
      </c>
      <c r="AB26" s="258">
        <v>595</v>
      </c>
      <c r="AC26" s="261">
        <v>411</v>
      </c>
      <c r="AD26" s="259">
        <v>1541</v>
      </c>
      <c r="AE26" s="259">
        <v>397</v>
      </c>
      <c r="AF26" s="260">
        <v>609</v>
      </c>
    </row>
    <row r="27" spans="1:32" ht="14.15" customHeight="1" x14ac:dyDescent="0.3">
      <c r="A27" s="136" t="s">
        <v>22</v>
      </c>
      <c r="B27" s="135">
        <v>45291</v>
      </c>
      <c r="C27" s="258">
        <v>396</v>
      </c>
      <c r="D27" s="259">
        <v>319</v>
      </c>
      <c r="E27" s="259">
        <v>834</v>
      </c>
      <c r="F27" s="131">
        <v>268</v>
      </c>
      <c r="G27" s="132">
        <v>447</v>
      </c>
      <c r="H27" s="133"/>
      <c r="I27" s="134"/>
      <c r="J27" s="131"/>
      <c r="K27" s="131"/>
      <c r="L27" s="131"/>
      <c r="M27" s="133"/>
      <c r="N27" s="134"/>
      <c r="O27" s="131"/>
      <c r="P27" s="131"/>
      <c r="Q27" s="132"/>
      <c r="R27" s="258">
        <v>87</v>
      </c>
      <c r="S27" s="261">
        <v>217</v>
      </c>
      <c r="T27" s="259">
        <v>99</v>
      </c>
      <c r="U27" s="259">
        <v>60</v>
      </c>
      <c r="V27" s="260">
        <v>244</v>
      </c>
      <c r="W27" s="133">
        <v>299</v>
      </c>
      <c r="X27" s="134">
        <v>96</v>
      </c>
      <c r="Y27" s="131">
        <v>480</v>
      </c>
      <c r="Z27" s="259">
        <v>200</v>
      </c>
      <c r="AA27" s="260">
        <v>195</v>
      </c>
      <c r="AB27" s="258">
        <v>458</v>
      </c>
      <c r="AC27" s="261">
        <v>374</v>
      </c>
      <c r="AD27" s="259">
        <v>865</v>
      </c>
      <c r="AE27" s="259">
        <v>310</v>
      </c>
      <c r="AF27" s="260">
        <v>522</v>
      </c>
    </row>
    <row r="28" spans="1:32" ht="14.15" customHeight="1" x14ac:dyDescent="0.3">
      <c r="A28" s="136" t="s">
        <v>23</v>
      </c>
      <c r="B28" s="135">
        <v>45291</v>
      </c>
      <c r="C28" s="258">
        <v>279</v>
      </c>
      <c r="D28" s="259">
        <v>331</v>
      </c>
      <c r="E28" s="259">
        <v>1318</v>
      </c>
      <c r="F28" s="131">
        <v>191</v>
      </c>
      <c r="G28" s="132">
        <v>419</v>
      </c>
      <c r="H28" s="133"/>
      <c r="I28" s="134"/>
      <c r="J28" s="131"/>
      <c r="K28" s="131"/>
      <c r="L28" s="131"/>
      <c r="M28" s="133"/>
      <c r="N28" s="134"/>
      <c r="O28" s="131"/>
      <c r="P28" s="131"/>
      <c r="Q28" s="132"/>
      <c r="R28" s="258">
        <v>52</v>
      </c>
      <c r="S28" s="261">
        <v>220</v>
      </c>
      <c r="T28" s="259">
        <v>180</v>
      </c>
      <c r="U28" s="259">
        <v>35</v>
      </c>
      <c r="V28" s="260">
        <v>237</v>
      </c>
      <c r="W28" s="133">
        <v>214</v>
      </c>
      <c r="X28" s="134">
        <v>104</v>
      </c>
      <c r="Y28" s="131">
        <v>825</v>
      </c>
      <c r="Z28" s="259">
        <v>150</v>
      </c>
      <c r="AA28" s="260">
        <v>168</v>
      </c>
      <c r="AB28" s="258">
        <v>299</v>
      </c>
      <c r="AC28" s="261">
        <v>386</v>
      </c>
      <c r="AD28" s="259">
        <v>1394</v>
      </c>
      <c r="AE28" s="259">
        <v>211</v>
      </c>
      <c r="AF28" s="260">
        <v>474</v>
      </c>
    </row>
    <row r="29" spans="1:32" ht="14.15" customHeight="1" x14ac:dyDescent="0.3">
      <c r="A29" s="136" t="s">
        <v>24</v>
      </c>
      <c r="B29" s="135">
        <v>45291</v>
      </c>
      <c r="C29" s="258">
        <v>432</v>
      </c>
      <c r="D29" s="259">
        <v>414</v>
      </c>
      <c r="E29" s="259">
        <v>1876</v>
      </c>
      <c r="F29" s="131">
        <v>306</v>
      </c>
      <c r="G29" s="132">
        <v>540</v>
      </c>
      <c r="H29" s="133"/>
      <c r="I29" s="134"/>
      <c r="J29" s="131"/>
      <c r="K29" s="131"/>
      <c r="L29" s="131"/>
      <c r="M29" s="133"/>
      <c r="N29" s="134"/>
      <c r="O29" s="131"/>
      <c r="P29" s="131"/>
      <c r="Q29" s="132"/>
      <c r="R29" s="258">
        <v>94</v>
      </c>
      <c r="S29" s="261">
        <v>249</v>
      </c>
      <c r="T29" s="259">
        <v>258</v>
      </c>
      <c r="U29" s="259">
        <v>60</v>
      </c>
      <c r="V29" s="260">
        <v>283</v>
      </c>
      <c r="W29" s="133">
        <v>329</v>
      </c>
      <c r="X29" s="134">
        <v>148</v>
      </c>
      <c r="Y29" s="131">
        <v>1117</v>
      </c>
      <c r="Z29" s="259">
        <v>234</v>
      </c>
      <c r="AA29" s="260">
        <v>243</v>
      </c>
      <c r="AB29" s="258">
        <v>487</v>
      </c>
      <c r="AC29" s="261">
        <v>475</v>
      </c>
      <c r="AD29" s="259">
        <v>1949</v>
      </c>
      <c r="AE29" s="259">
        <v>338</v>
      </c>
      <c r="AF29" s="260">
        <v>624</v>
      </c>
    </row>
    <row r="30" spans="1:32" ht="14.15" customHeight="1" x14ac:dyDescent="0.3">
      <c r="A30" s="136" t="s">
        <v>25</v>
      </c>
      <c r="B30" s="135">
        <v>45291</v>
      </c>
      <c r="C30" s="258">
        <v>81</v>
      </c>
      <c r="D30" s="259">
        <v>71</v>
      </c>
      <c r="E30" s="259">
        <v>191</v>
      </c>
      <c r="F30" s="131">
        <v>51</v>
      </c>
      <c r="G30" s="132">
        <v>101</v>
      </c>
      <c r="H30" s="133"/>
      <c r="I30" s="134"/>
      <c r="J30" s="131"/>
      <c r="K30" s="131"/>
      <c r="L30" s="131"/>
      <c r="M30" s="133"/>
      <c r="N30" s="134"/>
      <c r="O30" s="131"/>
      <c r="P30" s="131"/>
      <c r="Q30" s="132"/>
      <c r="R30" s="258">
        <v>10</v>
      </c>
      <c r="S30" s="261">
        <v>47</v>
      </c>
      <c r="T30" s="259">
        <v>18</v>
      </c>
      <c r="U30" s="259">
        <v>9</v>
      </c>
      <c r="V30" s="260">
        <v>48</v>
      </c>
      <c r="W30" s="133">
        <v>71</v>
      </c>
      <c r="X30" s="134">
        <v>23</v>
      </c>
      <c r="Y30" s="131">
        <v>120</v>
      </c>
      <c r="Z30" s="259">
        <v>42</v>
      </c>
      <c r="AA30" s="260">
        <v>52</v>
      </c>
      <c r="AB30" s="258">
        <v>97</v>
      </c>
      <c r="AC30" s="261">
        <v>77</v>
      </c>
      <c r="AD30" s="259">
        <v>198</v>
      </c>
      <c r="AE30" s="259">
        <v>60</v>
      </c>
      <c r="AF30" s="260">
        <v>114</v>
      </c>
    </row>
    <row r="31" spans="1:32" ht="14.15" customHeight="1" x14ac:dyDescent="0.3">
      <c r="A31" s="136" t="s">
        <v>26</v>
      </c>
      <c r="B31" s="135">
        <v>45291</v>
      </c>
      <c r="C31" s="258">
        <v>1466</v>
      </c>
      <c r="D31" s="259">
        <v>1108</v>
      </c>
      <c r="E31" s="259">
        <v>4313</v>
      </c>
      <c r="F31" s="131">
        <v>1057</v>
      </c>
      <c r="G31" s="132">
        <v>1517</v>
      </c>
      <c r="H31" s="133"/>
      <c r="I31" s="134"/>
      <c r="J31" s="131"/>
      <c r="K31" s="131"/>
      <c r="L31" s="131"/>
      <c r="M31" s="133"/>
      <c r="N31" s="134"/>
      <c r="O31" s="131"/>
      <c r="P31" s="131"/>
      <c r="Q31" s="132"/>
      <c r="R31" s="258">
        <v>250</v>
      </c>
      <c r="S31" s="261">
        <v>643</v>
      </c>
      <c r="T31" s="259">
        <v>647</v>
      </c>
      <c r="U31" s="259">
        <v>187</v>
      </c>
      <c r="V31" s="260">
        <v>706</v>
      </c>
      <c r="W31" s="133">
        <v>1178</v>
      </c>
      <c r="X31" s="134">
        <v>427</v>
      </c>
      <c r="Y31" s="131">
        <v>2526</v>
      </c>
      <c r="Z31" s="259">
        <v>829</v>
      </c>
      <c r="AA31" s="260">
        <v>776</v>
      </c>
      <c r="AB31" s="258">
        <v>1666</v>
      </c>
      <c r="AC31" s="261">
        <v>1235</v>
      </c>
      <c r="AD31" s="259">
        <v>4483</v>
      </c>
      <c r="AE31" s="259">
        <v>1182</v>
      </c>
      <c r="AF31" s="260">
        <v>1719</v>
      </c>
    </row>
    <row r="32" spans="1:32" ht="14.15" customHeight="1" x14ac:dyDescent="0.3">
      <c r="A32" s="136" t="s">
        <v>27</v>
      </c>
      <c r="B32" s="135">
        <v>45291</v>
      </c>
      <c r="C32" s="258">
        <v>543</v>
      </c>
      <c r="D32" s="259">
        <v>515</v>
      </c>
      <c r="E32" s="259">
        <v>1604</v>
      </c>
      <c r="F32" s="131">
        <v>420</v>
      </c>
      <c r="G32" s="132">
        <v>638</v>
      </c>
      <c r="H32" s="133"/>
      <c r="I32" s="134"/>
      <c r="J32" s="131"/>
      <c r="K32" s="131"/>
      <c r="L32" s="131"/>
      <c r="M32" s="133"/>
      <c r="N32" s="134"/>
      <c r="O32" s="131"/>
      <c r="P32" s="131"/>
      <c r="Q32" s="132"/>
      <c r="R32" s="258">
        <v>76</v>
      </c>
      <c r="S32" s="261">
        <v>280</v>
      </c>
      <c r="T32" s="259">
        <v>192</v>
      </c>
      <c r="U32" s="259">
        <v>73</v>
      </c>
      <c r="V32" s="260">
        <v>283</v>
      </c>
      <c r="W32" s="133">
        <v>447</v>
      </c>
      <c r="X32" s="134">
        <v>216</v>
      </c>
      <c r="Y32" s="131">
        <v>1042</v>
      </c>
      <c r="Z32" s="259">
        <v>324</v>
      </c>
      <c r="AA32" s="260">
        <v>339</v>
      </c>
      <c r="AB32" s="258">
        <v>617</v>
      </c>
      <c r="AC32" s="261">
        <v>590</v>
      </c>
      <c r="AD32" s="259">
        <v>1662</v>
      </c>
      <c r="AE32" s="259">
        <v>457</v>
      </c>
      <c r="AF32" s="260">
        <v>750</v>
      </c>
    </row>
    <row r="33" spans="1:32" ht="14.15" customHeight="1" x14ac:dyDescent="0.3">
      <c r="A33" s="136" t="s">
        <v>28</v>
      </c>
      <c r="B33" s="135">
        <v>45291</v>
      </c>
      <c r="C33" s="258">
        <v>250</v>
      </c>
      <c r="D33" s="259">
        <v>165</v>
      </c>
      <c r="E33" s="259">
        <v>653</v>
      </c>
      <c r="F33" s="131">
        <v>175</v>
      </c>
      <c r="G33" s="132">
        <v>240</v>
      </c>
      <c r="H33" s="133"/>
      <c r="I33" s="134"/>
      <c r="J33" s="131"/>
      <c r="K33" s="131"/>
      <c r="L33" s="131"/>
      <c r="M33" s="133"/>
      <c r="N33" s="134"/>
      <c r="O33" s="131"/>
      <c r="P33" s="131"/>
      <c r="Q33" s="132"/>
      <c r="R33" s="258">
        <v>37</v>
      </c>
      <c r="S33" s="261">
        <v>85</v>
      </c>
      <c r="T33" s="259">
        <v>74</v>
      </c>
      <c r="U33" s="259">
        <v>26</v>
      </c>
      <c r="V33" s="260">
        <v>96</v>
      </c>
      <c r="W33" s="133">
        <v>206</v>
      </c>
      <c r="X33" s="134">
        <v>76</v>
      </c>
      <c r="Y33" s="131">
        <v>386</v>
      </c>
      <c r="Z33" s="259">
        <v>145</v>
      </c>
      <c r="AA33" s="260">
        <v>137</v>
      </c>
      <c r="AB33" s="258">
        <v>282</v>
      </c>
      <c r="AC33" s="261">
        <v>177</v>
      </c>
      <c r="AD33" s="259">
        <v>674</v>
      </c>
      <c r="AE33" s="259">
        <v>192</v>
      </c>
      <c r="AF33" s="260">
        <v>267</v>
      </c>
    </row>
    <row r="34" spans="1:32" ht="14.15" customHeight="1" thickBot="1" x14ac:dyDescent="0.35">
      <c r="A34" s="364" t="s">
        <v>29</v>
      </c>
      <c r="B34" s="365">
        <v>45291</v>
      </c>
      <c r="C34" s="366">
        <v>2423</v>
      </c>
      <c r="D34" s="367">
        <v>2008</v>
      </c>
      <c r="E34" s="367">
        <v>8979</v>
      </c>
      <c r="F34" s="368">
        <v>1636</v>
      </c>
      <c r="G34" s="369">
        <v>2795</v>
      </c>
      <c r="H34" s="370"/>
      <c r="I34" s="371"/>
      <c r="J34" s="368"/>
      <c r="K34" s="368"/>
      <c r="L34" s="368"/>
      <c r="M34" s="370"/>
      <c r="N34" s="371"/>
      <c r="O34" s="368"/>
      <c r="P34" s="368"/>
      <c r="Q34" s="369"/>
      <c r="R34" s="366">
        <v>412</v>
      </c>
      <c r="S34" s="372">
        <v>1274</v>
      </c>
      <c r="T34" s="367">
        <v>1557</v>
      </c>
      <c r="U34" s="367">
        <v>272</v>
      </c>
      <c r="V34" s="373">
        <v>1414</v>
      </c>
      <c r="W34" s="370">
        <v>1936</v>
      </c>
      <c r="X34" s="371">
        <v>632</v>
      </c>
      <c r="Y34" s="368">
        <v>5447</v>
      </c>
      <c r="Z34" s="367">
        <v>1271</v>
      </c>
      <c r="AA34" s="373">
        <v>1297</v>
      </c>
      <c r="AB34" s="366">
        <v>2720</v>
      </c>
      <c r="AC34" s="372">
        <v>2298</v>
      </c>
      <c r="AD34" s="367">
        <v>9281</v>
      </c>
      <c r="AE34" s="367">
        <v>1814</v>
      </c>
      <c r="AF34" s="373">
        <v>3204</v>
      </c>
    </row>
    <row r="35" spans="1:32" ht="14.15" customHeight="1" x14ac:dyDescent="0.3">
      <c r="AB35" s="170"/>
      <c r="AE35" s="170"/>
    </row>
    <row r="36" spans="1:32" s="120" customFormat="1" ht="14.15" hidden="1" customHeight="1" x14ac:dyDescent="0.3">
      <c r="A36" s="215" t="s">
        <v>38</v>
      </c>
      <c r="C36" s="215">
        <f>SUM(C8:D8)</f>
        <v>26972</v>
      </c>
      <c r="F36" s="215">
        <f>SUM(F8:G8)</f>
        <v>26972</v>
      </c>
      <c r="H36" s="215">
        <f>SUM(H8:I8)</f>
        <v>0</v>
      </c>
      <c r="K36" s="215">
        <f>SUM(K8:L8)</f>
        <v>0</v>
      </c>
      <c r="M36" s="215">
        <f>SUM(M8:N8)</f>
        <v>0</v>
      </c>
      <c r="P36" s="215">
        <f>SUM(P8:Q8)</f>
        <v>0</v>
      </c>
      <c r="R36" s="215">
        <f>SUM(R8:S8)</f>
        <v>9710</v>
      </c>
      <c r="U36" s="215">
        <f>SUM(U8:V8)</f>
        <v>9710</v>
      </c>
      <c r="W36" s="215">
        <f>SUM(W8:X8)</f>
        <v>16294</v>
      </c>
      <c r="Z36" s="215">
        <f>SUM(Z8:AA8)</f>
        <v>16294</v>
      </c>
      <c r="AB36" s="215">
        <f>SUM(AB8:AC8)</f>
        <v>30684</v>
      </c>
      <c r="AE36" s="215">
        <f>SUM(AE8:AF8)</f>
        <v>30684</v>
      </c>
    </row>
    <row r="37" spans="1:32" ht="14.15" customHeight="1" x14ac:dyDescent="0.3"/>
    <row r="38" spans="1:32" ht="14.15" customHeight="1" x14ac:dyDescent="0.3"/>
    <row r="39" spans="1:32" ht="14.15" customHeight="1" x14ac:dyDescent="0.3"/>
    <row r="40" spans="1:32" ht="14.15" customHeight="1" x14ac:dyDescent="0.3"/>
    <row r="41" spans="1:32" ht="14.15" customHeight="1" x14ac:dyDescent="0.3"/>
    <row r="42" spans="1:32" ht="14.15" customHeight="1" x14ac:dyDescent="0.3"/>
    <row r="43" spans="1:32" ht="14.15" customHeight="1" x14ac:dyDescent="0.3"/>
    <row r="44" spans="1:32" ht="14.15" customHeight="1" x14ac:dyDescent="0.3"/>
    <row r="45" spans="1:32" ht="14.15" customHeight="1" x14ac:dyDescent="0.3"/>
    <row r="46" spans="1:32" ht="14.15" customHeight="1" x14ac:dyDescent="0.3"/>
    <row r="47" spans="1:32" ht="14.15" customHeight="1" x14ac:dyDescent="0.3"/>
    <row r="48" spans="1:32" ht="14.15" customHeight="1" x14ac:dyDescent="0.3"/>
    <row r="49" ht="14.15" customHeight="1" x14ac:dyDescent="0.3"/>
    <row r="50" ht="14.15" customHeight="1" x14ac:dyDescent="0.3"/>
    <row r="51" ht="14.15" customHeight="1" x14ac:dyDescent="0.3"/>
    <row r="52" ht="14.15" customHeight="1" x14ac:dyDescent="0.3"/>
  </sheetData>
  <sheetProtection algorithmName="SHA-512" hashValue="4fASvw42xzXMryoc7etzbcdSEctYR25z4tnf69uvDuXYdxcmpDa4s/1eAtl78YxtL7yHSu/MZKkEvt7ykCgUQQ==" saltValue="F+44e7uuAbk0yZYftNvR2g==" spinCount="100000" sheet="1" selectLockedCells="1" selectUnlockedCells="1"/>
  <customSheetViews>
    <customSheetView guid="{168849A9-FED9-4458-942F-290616B3A25C}" scale="60" showPageBreaks="1" showGridLines="0" printArea="1" hiddenRows="1">
      <selection activeCell="K8" sqref="K8"/>
      <pageMargins left="0.70866141732283472" right="0.70866141732283472" top="1.3779527559055118" bottom="0.78740157480314965" header="0.31496062992125984" footer="0.31496062992125984"/>
      <pageSetup paperSize="8" scale="95" fitToWidth="0" orientation="landscape" horizontalDpi="90" verticalDpi="90" r:id="rId1"/>
      <headerFooter>
        <oddHeader>&amp;LKennzahlenraster KIP / IAS&amp;R&amp;G</oddHeader>
        <oddFooter>&amp;L&amp;A&amp;R&amp;P</oddFooter>
      </headerFooter>
    </customSheetView>
  </customSheetViews>
  <mergeCells count="16">
    <mergeCell ref="A1:Q1"/>
    <mergeCell ref="A3:Q3"/>
    <mergeCell ref="W6:AA6"/>
    <mergeCell ref="AB6:AF6"/>
    <mergeCell ref="A5:A7"/>
    <mergeCell ref="B5:B7"/>
    <mergeCell ref="C5:G5"/>
    <mergeCell ref="H5:L5"/>
    <mergeCell ref="M5:Q5"/>
    <mergeCell ref="R5:V5"/>
    <mergeCell ref="W5:AA5"/>
    <mergeCell ref="AB5:AF5"/>
    <mergeCell ref="M6:Q6"/>
    <mergeCell ref="R6:V6"/>
    <mergeCell ref="C6:G6"/>
    <mergeCell ref="H6:L6"/>
  </mergeCells>
  <pageMargins left="0.70866141732283472" right="0.70866141732283472" top="1.3779527559055118" bottom="0.78740157480314965" header="0.31496062992125984" footer="0.31496062992125984"/>
  <pageSetup paperSize="8" scale="95" fitToWidth="0" orientation="landscape" horizontalDpi="90" verticalDpi="90" r:id="rId2"/>
  <headerFooter>
    <oddHeader>&amp;LKennzahlenraster KIP / IAS&amp;R&amp;G</oddHeader>
    <oddFooter>&amp;L&amp;A&amp;R&amp;P</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f:fields xmlns:f="http://schemas.fabasoft.com/folio/2007/fields">
  <f:record ref="">
    <f:field ref="objname" par="" edit="true" text="Raster Kennzahlen IAS V2"/>
    <f:field ref="objsubject" par="" edit="true" text=""/>
    <f:field ref="objcreatedby" par="" text="Steiger, Sebastian, sem-Stsb"/>
    <f:field ref="objcreatedat" par="" text="27.03.2019 11:42:10"/>
    <f:field ref="objchangedby" par="" text="Steiger, Sebastian, sem-Stsb"/>
    <f:field ref="objmodifiedat" par="" text="24.05.2019 15:22:59"/>
    <f:field ref="doc_FSCFOLIO_1_1001_FieldDocumentNumber" par="" text=""/>
    <f:field ref="doc_FSCFOLIO_1_1001_FieldSubject" par="" edit="true" text=""/>
    <f:field ref="FSCFOLIO_1_1001_FieldCurrentUser" par="" text="Tsewang Tsering"/>
    <f:field ref="CCAPRECONFIG_15_1001_Objektname" par="" edit="true" text="Raster Kennzahlen IAS V2"/>
    <f:field ref="CHPRECONFIG_1_1001_Objektname" par="" edit="true" text="Raster Kennzahlen IAS V2"/>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HPRECONFIG_1_1001_Anrede" text="Anrede"/>
    <f:field ref="CHPRECONFIG_1_1001_EMailAdresse" text="E-Mail Adresse"/>
    <f:field ref="CHPRECONFIG_1_1001_Nachname" text="Nachname"/>
    <f:field ref="CHPRECONFIG_1_1001_Ort" text="Ort"/>
    <f:field ref="CHPRECONFIG_1_1001_Postleitzahl" text="Postleitzahl"/>
    <f:field ref="CHPRECONFIG_1_1001_Strasse" text="Strasse"/>
    <f:field ref="CHPRECONFIG_1_1001_Titel" text="Titel"/>
    <f:field ref="CHPRECONFIG_1_1001_Vorname" text="Vorname"/>
  </f:display>
  <f:display par="" text="Serienbrief">
    <f:field ref="doc_FSCFOLIO_1_1001_FieldSubject" text="Betreff"/>
    <f:field ref="doc_FSCFOLIO_1_1001_FieldDocumentNumber" text="Dokument Nummer"/>
  </f:display>
</f:fields>
</file>

<file path=customXml/item2.xml>��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customXml/itemProps2.xml><?xml version="1.0" encoding="utf-8"?>
<ds:datastoreItem xmlns:ds="http://schemas.openxmlformats.org/officeDocument/2006/customXml" ds:itemID="{721797EF-4BCC-4436-8531-014FB34491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18</vt:i4>
      </vt:variant>
    </vt:vector>
  </HeadingPairs>
  <TitlesOfParts>
    <vt:vector size="33" baseType="lpstr">
      <vt:lpstr>Table des matières</vt:lpstr>
      <vt:lpstr>Indicateurs PIC</vt:lpstr>
      <vt:lpstr>Sommaire Indicateurs AIS</vt:lpstr>
      <vt:lpstr>Ind AIS N°1</vt:lpstr>
      <vt:lpstr>Ind AIS N°2</vt:lpstr>
      <vt:lpstr>Ind AIS N°3</vt:lpstr>
      <vt:lpstr>Ind AIS N°4</vt:lpstr>
      <vt:lpstr>Ind AIS N°5</vt:lpstr>
      <vt:lpstr>Ind AIS N°6</vt:lpstr>
      <vt:lpstr>Ind AIS N°7</vt:lpstr>
      <vt:lpstr>Ind AIS N°8</vt:lpstr>
      <vt:lpstr>Ind AIS N°9</vt:lpstr>
      <vt:lpstr>Ind AIS N°11a</vt:lpstr>
      <vt:lpstr>Ind AIS N°11b</vt:lpstr>
      <vt:lpstr>Ind AIS N°14</vt:lpstr>
      <vt:lpstr>bestand_alle</vt:lpstr>
      <vt:lpstr>bestand_ias</vt:lpstr>
      <vt:lpstr>'Ind AIS N°1'!Print_Area</vt:lpstr>
      <vt:lpstr>'Ind AIS N°11a'!Print_Area</vt:lpstr>
      <vt:lpstr>'Ind AIS N°11b'!Print_Area</vt:lpstr>
      <vt:lpstr>'Ind AIS N°2'!Print_Area</vt:lpstr>
      <vt:lpstr>'Ind AIS N°3'!Print_Area</vt:lpstr>
      <vt:lpstr>'Ind AIS N°4'!Print_Area</vt:lpstr>
      <vt:lpstr>'Ind AIS N°5'!Print_Area</vt:lpstr>
      <vt:lpstr>'Ind AIS N°6'!Print_Area</vt:lpstr>
      <vt:lpstr>'Ind AIS N°7'!Print_Area</vt:lpstr>
      <vt:lpstr>'Ind AIS N°8'!Print_Area</vt:lpstr>
      <vt:lpstr>'Ind AIS N°9'!Print_Area</vt:lpstr>
      <vt:lpstr>'Indicateurs PIC'!Print_Area</vt:lpstr>
      <vt:lpstr>'Sommaire Indicateurs AIS'!Print_Area</vt:lpstr>
      <vt:lpstr>'Table des matières'!Print_Area</vt:lpstr>
      <vt:lpstr>'Univers AIS décisions 1.5.19'!Print_Area</vt:lpstr>
      <vt:lpstr>'Univers AIS Effectif'!Print_Area</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Raster Kennzahlen IAS</dc:title>
  <dc:creator>FBFIS</dc:creator>
  <cp:lastModifiedBy>Bürgi Corina SEM</cp:lastModifiedBy>
  <cp:lastPrinted>2021-03-04T09:42:05Z</cp:lastPrinted>
  <dcterms:created xsi:type="dcterms:W3CDTF">2019-03-08T14:44:51Z</dcterms:created>
  <dcterms:modified xsi:type="dcterms:W3CDTF">2024-06-07T14:32:11Z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JPDCFG@15.1700:Recipient">
    <vt:lpwstr/>
  </property>
  <property fmtid="{D5CDD505-2E9C-101B-9397-08002B2CF9AE}" pid="3" name="FSC#EJPDCFG@15.1700:RecipientSalutation">
    <vt:lpwstr/>
  </property>
  <property fmtid="{D5CDD505-2E9C-101B-9397-08002B2CF9AE}" pid="4" name="FSC#EJPDCFG@15.1700:RecipientTitle">
    <vt:lpwstr/>
  </property>
  <property fmtid="{D5CDD505-2E9C-101B-9397-08002B2CF9AE}" pid="5" name="FSC#EJPDCFG@15.1700:RecipientFirstname">
    <vt:lpwstr/>
  </property>
  <property fmtid="{D5CDD505-2E9C-101B-9397-08002B2CF9AE}" pid="6" name="FSC#EJPDCFG@15.1700:RecipientSurname">
    <vt:lpwstr/>
  </property>
  <property fmtid="{D5CDD505-2E9C-101B-9397-08002B2CF9AE}" pid="7" name="FSC#EJPDCFG@15.1700:RecipientStreet">
    <vt:lpwstr/>
  </property>
  <property fmtid="{D5CDD505-2E9C-101B-9397-08002B2CF9AE}" pid="8" name="FSC#EJPDCFG@15.1700:RecipientPOBox">
    <vt:lpwstr/>
  </property>
  <property fmtid="{D5CDD505-2E9C-101B-9397-08002B2CF9AE}" pid="9" name="FSC#EJPDCFG@15.1700:RecipientZIPCode">
    <vt:lpwstr/>
  </property>
  <property fmtid="{D5CDD505-2E9C-101B-9397-08002B2CF9AE}" pid="10" name="FSC#EJPDCFG@15.1700:RecipientCity">
    <vt:lpwstr/>
  </property>
  <property fmtid="{D5CDD505-2E9C-101B-9397-08002B2CF9AE}" pid="11" name="FSC#EJPDCFG@15.1700:Recipientcountry">
    <vt:lpwstr/>
  </property>
  <property fmtid="{D5CDD505-2E9C-101B-9397-08002B2CF9AE}" pid="12" name="FSC#EJPDCFG@15.1700:RecipientOrgname">
    <vt:lpwstr/>
  </property>
  <property fmtid="{D5CDD505-2E9C-101B-9397-08002B2CF9AE}" pid="13" name="FSC#EJPDCFG@15.1700:RecipientEMail">
    <vt:lpwstr/>
  </property>
  <property fmtid="{D5CDD505-2E9C-101B-9397-08002B2CF9AE}" pid="14" name="FSC#EJPDCFG@15.1700:RecipientContactSalutation">
    <vt:lpwstr/>
  </property>
  <property fmtid="{D5CDD505-2E9C-101B-9397-08002B2CF9AE}" pid="15" name="FSC#EJPDCFG@15.1700:RecipientContactFirstname">
    <vt:lpwstr/>
  </property>
  <property fmtid="{D5CDD505-2E9C-101B-9397-08002B2CF9AE}" pid="16" name="FSC#EJPDCFG@15.1700:RecipientContactSurname">
    <vt:lpwstr/>
  </property>
  <property fmtid="{D5CDD505-2E9C-101B-9397-08002B2CF9AE}" pid="17" name="FSC#EJPDCFG@15.1700:RecipientDate">
    <vt:lpwstr/>
  </property>
  <property fmtid="{D5CDD505-2E9C-101B-9397-08002B2CF9AE}" pid="18" name="FSC#EJPDCFG@15.1700:SubfileTitle">
    <vt:lpwstr>Kennzahlen IAS</vt:lpwstr>
  </property>
  <property fmtid="{D5CDD505-2E9C-101B-9397-08002B2CF9AE}" pid="19" name="FSC#EJPDCFG@15.1700:SubfileSubject">
    <vt:lpwstr>Kennzahlen IAS</vt:lpwstr>
  </property>
  <property fmtid="{D5CDD505-2E9C-101B-9397-08002B2CF9AE}" pid="20" name="FSC#EJPDCFG@15.1700:SubfileDossierRef">
    <vt:lpwstr>545-00/2018/00001</vt:lpwstr>
  </property>
  <property fmtid="{D5CDD505-2E9C-101B-9397-08002B2CF9AE}" pid="21" name="FSC#EJPDCFG@15.1700:SubfileResponsibleFirstname">
    <vt:lpwstr>Sebastian</vt:lpwstr>
  </property>
  <property fmtid="{D5CDD505-2E9C-101B-9397-08002B2CF9AE}" pid="22" name="FSC#EJPDCFG@15.1700:SubfileResponsibleSurname">
    <vt:lpwstr>Steiger</vt:lpwstr>
  </property>
  <property fmtid="{D5CDD505-2E9C-101B-9397-08002B2CF9AE}" pid="23" name="FSC#EJPDCFG@15.1700:SubfileResponsibleProfession">
    <vt:lpwstr/>
  </property>
  <property fmtid="{D5CDD505-2E9C-101B-9397-08002B2CF9AE}" pid="24" name="FSC#EJPDCFG@15.1700:SubfileResponsibleInitials">
    <vt:lpwstr>sem-Stsb</vt:lpwstr>
  </property>
  <property fmtid="{D5CDD505-2E9C-101B-9397-08002B2CF9AE}" pid="25" name="FSC#EJPDCFG@15.1700:AssignmentCommentHistory">
    <vt:lpwstr/>
  </property>
  <property fmtid="{D5CDD505-2E9C-101B-9397-08002B2CF9AE}" pid="26" name="FSC#EJPDCFG@15.1700:AssignmentDefaultComment">
    <vt:lpwstr/>
  </property>
  <property fmtid="{D5CDD505-2E9C-101B-9397-08002B2CF9AE}" pid="27" name="FSC#EJPDCFG@15.1700:AssignmentRemarks">
    <vt:lpwstr/>
  </property>
  <property fmtid="{D5CDD505-2E9C-101B-9397-08002B2CF9AE}" pid="28" name="FSC#EJPDCFG@15.1700:AssignmentExternalDate">
    <vt:lpwstr/>
  </property>
  <property fmtid="{D5CDD505-2E9C-101B-9397-08002B2CF9AE}" pid="29" name="FSC#EJPDCFG@15.1700:AssignmentProcessingDeadline">
    <vt:lpwstr/>
  </property>
  <property fmtid="{D5CDD505-2E9C-101B-9397-08002B2CF9AE}" pid="30" name="FSC#EJPDCFG@15.1700:AssignmentPlacingPosition">
    <vt:lpwstr/>
  </property>
  <property fmtid="{D5CDD505-2E9C-101B-9397-08002B2CF9AE}" pid="31" name="FSC#EJPDCFG@15.1700:AssignmentResponsible">
    <vt:lpwstr/>
  </property>
  <property fmtid="{D5CDD505-2E9C-101B-9397-08002B2CF9AE}" pid="32" name="FSC#EJPDCFG@15.1700:AssignmentUsers">
    <vt:lpwstr/>
  </property>
  <property fmtid="{D5CDD505-2E9C-101B-9397-08002B2CF9AE}" pid="33" name="FSC#EJPDCFG@15.1700:AssignmentUsersDone">
    <vt:lpwstr/>
  </property>
  <property fmtid="{D5CDD505-2E9C-101B-9397-08002B2CF9AE}" pid="34" name="FSC#EJPDCFG@15.1700:SubfileClassification">
    <vt:lpwstr>Nicht klassifiziert</vt:lpwstr>
  </property>
  <property fmtid="{D5CDD505-2E9C-101B-9397-08002B2CF9AE}" pid="35" name="FSC#EJPDCFG@15.1700:Department">
    <vt:lpwstr>Direktion</vt:lpwstr>
  </property>
  <property fmtid="{D5CDD505-2E9C-101B-9397-08002B2CF9AE}" pid="36" name="FSC#EJPDCFG@15.1700:DepartmentShort">
    <vt:lpwstr>DIR</vt:lpwstr>
  </property>
  <property fmtid="{D5CDD505-2E9C-101B-9397-08002B2CF9AE}" pid="37" name="FSC#EJPDCFG@15.1700:HierarchyFirstLevel">
    <vt:lpwstr>Direktion</vt:lpwstr>
  </property>
  <property fmtid="{D5CDD505-2E9C-101B-9397-08002B2CF9AE}" pid="38" name="FSC#EJPDCFG@15.1700:HierarchyFirstLevelShort">
    <vt:lpwstr>DIR</vt:lpwstr>
  </property>
  <property fmtid="{D5CDD505-2E9C-101B-9397-08002B2CF9AE}" pid="39" name="FSC#EJPDCFG@15.1700:HierarchySecondLevel">
    <vt:lpwstr>Direktionsbereich Zuwanderung und Integration</vt:lpwstr>
  </property>
  <property fmtid="{D5CDD505-2E9C-101B-9397-08002B2CF9AE}" pid="40" name="FSC#EJPDCFG@15.1700:HierarchyThirdLevel">
    <vt:lpwstr>Abteilung Integration</vt:lpwstr>
  </property>
  <property fmtid="{D5CDD505-2E9C-101B-9397-08002B2CF9AE}" pid="41" name="FSC#EJPDCFG@15.1700:HierarchyFourthLevel">
    <vt:lpwstr>Sektion Integrationsförderung</vt:lpwstr>
  </property>
  <property fmtid="{D5CDD505-2E9C-101B-9397-08002B2CF9AE}" pid="42" name="FSC#EJPDCFG@15.1700:HierarchyFifthLevel">
    <vt:lpwstr/>
  </property>
  <property fmtid="{D5CDD505-2E9C-101B-9397-08002B2CF9AE}" pid="43" name="FSC#EJPDCFG@15.1700:ObjaddressContentObject">
    <vt:lpwstr>COO.2180.101.5.519576</vt:lpwstr>
  </property>
  <property fmtid="{D5CDD505-2E9C-101B-9397-08002B2CF9AE}" pid="44" name="FSC#EJPDCFG@15.1700:SubfileResponsibleSalutation">
    <vt:lpwstr/>
  </property>
  <property fmtid="{D5CDD505-2E9C-101B-9397-08002B2CF9AE}" pid="45" name="FSC#EJPDCFG@15.1700:SubfileResponsibleTelOffice">
    <vt:lpwstr>+41 58 467 64 72</vt:lpwstr>
  </property>
  <property fmtid="{D5CDD505-2E9C-101B-9397-08002B2CF9AE}" pid="46" name="FSC#EJPDCFG@15.1700:SubfileResponsibleTelFax">
    <vt:lpwstr>+41 58 462 78 32</vt:lpwstr>
  </property>
  <property fmtid="{D5CDD505-2E9C-101B-9397-08002B2CF9AE}" pid="47" name="FSC#EJPDCFG@15.1700:SubfileResponsibleEmail">
    <vt:lpwstr>sebastian.steiger@sem.admin.ch</vt:lpwstr>
  </property>
  <property fmtid="{D5CDD505-2E9C-101B-9397-08002B2CF9AE}" pid="48" name="FSC#EJPDCFG@15.1700:SubfileResponsibleUrl">
    <vt:lpwstr>http://www.sem.admin.ch</vt:lpwstr>
  </property>
  <property fmtid="{D5CDD505-2E9C-101B-9397-08002B2CF9AE}" pid="49" name="FSC#EJPDCFG@15.1700:SubfileResponsibleAddress">
    <vt:lpwstr>Quellenweg 9, 3003 Bern-Wabern</vt:lpwstr>
  </property>
  <property fmtid="{D5CDD505-2E9C-101B-9397-08002B2CF9AE}" pid="50" name="FSC#EJPDCFG@15.1700:FileRefOU">
    <vt:lpwstr>Abteilung Integration</vt:lpwstr>
  </property>
  <property fmtid="{D5CDD505-2E9C-101B-9397-08002B2CF9AE}" pid="51" name="FSC#EJPDCFG@15.1700:OU">
    <vt:lpwstr>Abteilung Integration</vt:lpwstr>
  </property>
  <property fmtid="{D5CDD505-2E9C-101B-9397-08002B2CF9AE}" pid="52" name="FSC#EJPDCFG@15.1700:Department2">
    <vt:lpwstr>Sektion Integrationsförderung</vt:lpwstr>
  </property>
  <property fmtid="{D5CDD505-2E9C-101B-9397-08002B2CF9AE}" pid="53" name="FSC#EJPDIMPORT@100.2000:Recipient">
    <vt:lpwstr/>
  </property>
  <property fmtid="{D5CDD505-2E9C-101B-9397-08002B2CF9AE}" pid="54" name="FSC#EJPDIMPORT@100.2000:PersonnelBirthday">
    <vt:lpwstr/>
  </property>
  <property fmtid="{D5CDD505-2E9C-101B-9397-08002B2CF9AE}" pid="55" name="FSC#EJPDIMPORT@100.2000:PersonnelProfession">
    <vt:lpwstr/>
  </property>
  <property fmtid="{D5CDD505-2E9C-101B-9397-08002B2CF9AE}" pid="56" name="FSC#EJPDIMPORT@100.2000:PersonnelOrgAddress">
    <vt:lpwstr/>
  </property>
  <property fmtid="{D5CDD505-2E9C-101B-9397-08002B2CF9AE}" pid="57" name="FSC#EJPDIMPORT@100.2000:PersonnelOrgname">
    <vt:lpwstr/>
  </property>
  <property fmtid="{D5CDD505-2E9C-101B-9397-08002B2CF9AE}" pid="58" name="FSC#EJPDIMPORT@100.2000:PersonnelFirstname">
    <vt:lpwstr/>
  </property>
  <property fmtid="{D5CDD505-2E9C-101B-9397-08002B2CF9AE}" pid="59" name="FSC#EJPDIMPORT@100.2000:PersonnelSurname">
    <vt:lpwstr/>
  </property>
  <property fmtid="{D5CDD505-2E9C-101B-9397-08002B2CF9AE}" pid="60" name="FSC#EJPDIMPORT@100.2000:PersonnelAddress">
    <vt:lpwstr/>
  </property>
  <property fmtid="{D5CDD505-2E9C-101B-9397-08002B2CF9AE}" pid="61" name="FSC#COOELAK@1.1001:Subject">
    <vt:lpwstr/>
  </property>
  <property fmtid="{D5CDD505-2E9C-101B-9397-08002B2CF9AE}" pid="62" name="FSC#COOELAK@1.1001:FileReference">
    <vt:lpwstr>545-00/2018/05813</vt:lpwstr>
  </property>
  <property fmtid="{D5CDD505-2E9C-101B-9397-08002B2CF9AE}" pid="63" name="FSC#COOELAK@1.1001:FileRefYear">
    <vt:lpwstr>2018</vt:lpwstr>
  </property>
  <property fmtid="{D5CDD505-2E9C-101B-9397-08002B2CF9AE}" pid="64" name="FSC#COOELAK@1.1001:FileRefOrdinal">
    <vt:lpwstr>5813</vt:lpwstr>
  </property>
  <property fmtid="{D5CDD505-2E9C-101B-9397-08002B2CF9AE}" pid="65" name="FSC#COOELAK@1.1001:FileRefOU">
    <vt:lpwstr>AI</vt:lpwstr>
  </property>
  <property fmtid="{D5CDD505-2E9C-101B-9397-08002B2CF9AE}" pid="66" name="FSC#COOELAK@1.1001:Organization">
    <vt:lpwstr/>
  </property>
  <property fmtid="{D5CDD505-2E9C-101B-9397-08002B2CF9AE}" pid="67" name="FSC#COOELAK@1.1001:Owner">
    <vt:lpwstr>Steiger Sebastian</vt:lpwstr>
  </property>
  <property fmtid="{D5CDD505-2E9C-101B-9397-08002B2CF9AE}" pid="68" name="FSC#COOELAK@1.1001:OwnerExtension">
    <vt:lpwstr>+41 58 467 64 72</vt:lpwstr>
  </property>
  <property fmtid="{D5CDD505-2E9C-101B-9397-08002B2CF9AE}" pid="69" name="FSC#COOELAK@1.1001:OwnerFaxExtension">
    <vt:lpwstr>+41 58 462 78 32</vt:lpwstr>
  </property>
  <property fmtid="{D5CDD505-2E9C-101B-9397-08002B2CF9AE}" pid="70" name="FSC#COOELAK@1.1001:DispatchedBy">
    <vt:lpwstr/>
  </property>
  <property fmtid="{D5CDD505-2E9C-101B-9397-08002B2CF9AE}" pid="71" name="FSC#COOELAK@1.1001:DispatchedAt">
    <vt:lpwstr/>
  </property>
  <property fmtid="{D5CDD505-2E9C-101B-9397-08002B2CF9AE}" pid="72" name="FSC#COOELAK@1.1001:ApprovedBy">
    <vt:lpwstr/>
  </property>
  <property fmtid="{D5CDD505-2E9C-101B-9397-08002B2CF9AE}" pid="73" name="FSC#COOELAK@1.1001:ApprovedAt">
    <vt:lpwstr/>
  </property>
  <property fmtid="{D5CDD505-2E9C-101B-9397-08002B2CF9AE}" pid="74" name="FSC#COOELAK@1.1001:Department">
    <vt:lpwstr>Sektion Integrationsförderung (SIF)</vt:lpwstr>
  </property>
  <property fmtid="{D5CDD505-2E9C-101B-9397-08002B2CF9AE}" pid="75" name="FSC#COOELAK@1.1001:CreatedAt">
    <vt:lpwstr>27.03.2019</vt:lpwstr>
  </property>
  <property fmtid="{D5CDD505-2E9C-101B-9397-08002B2CF9AE}" pid="76" name="FSC#COOELAK@1.1001:OU">
    <vt:lpwstr>Abteilung Integration (AI)</vt:lpwstr>
  </property>
  <property fmtid="{D5CDD505-2E9C-101B-9397-08002B2CF9AE}" pid="77" name="FSC#COOELAK@1.1001:Priority">
    <vt:lpwstr> ()</vt:lpwstr>
  </property>
  <property fmtid="{D5CDD505-2E9C-101B-9397-08002B2CF9AE}" pid="78" name="FSC#COOELAK@1.1001:ObjBarCode">
    <vt:lpwstr>*COO.2180.101.5.519576*</vt:lpwstr>
  </property>
  <property fmtid="{D5CDD505-2E9C-101B-9397-08002B2CF9AE}" pid="79" name="FSC#COOELAK@1.1001:RefBarCode">
    <vt:lpwstr>*COO.2180.101.8.2500992*</vt:lpwstr>
  </property>
  <property fmtid="{D5CDD505-2E9C-101B-9397-08002B2CF9AE}" pid="80" name="FSC#COOELAK@1.1001:FileRefBarCode">
    <vt:lpwstr>*545-00/2018/05813*</vt:lpwstr>
  </property>
  <property fmtid="{D5CDD505-2E9C-101B-9397-08002B2CF9AE}" pid="81" name="FSC#COOELAK@1.1001:ExternalRef">
    <vt:lpwstr/>
  </property>
  <property fmtid="{D5CDD505-2E9C-101B-9397-08002B2CF9AE}" pid="82" name="FSC#COOELAK@1.1001:IncomingNumber">
    <vt:lpwstr/>
  </property>
  <property fmtid="{D5CDD505-2E9C-101B-9397-08002B2CF9AE}" pid="83" name="FSC#COOELAK@1.1001:IncomingSubject">
    <vt:lpwstr/>
  </property>
  <property fmtid="{D5CDD505-2E9C-101B-9397-08002B2CF9AE}" pid="84" name="FSC#COOELAK@1.1001:ProcessResponsible">
    <vt:lpwstr/>
  </property>
  <property fmtid="{D5CDD505-2E9C-101B-9397-08002B2CF9AE}" pid="85" name="FSC#COOELAK@1.1001:ProcessResponsiblePhone">
    <vt:lpwstr/>
  </property>
  <property fmtid="{D5CDD505-2E9C-101B-9397-08002B2CF9AE}" pid="86" name="FSC#COOELAK@1.1001:ProcessResponsibleMail">
    <vt:lpwstr/>
  </property>
  <property fmtid="{D5CDD505-2E9C-101B-9397-08002B2CF9AE}" pid="87" name="FSC#COOELAK@1.1001:ProcessResponsibleFax">
    <vt:lpwstr/>
  </property>
  <property fmtid="{D5CDD505-2E9C-101B-9397-08002B2CF9AE}" pid="88" name="FSC#COOELAK@1.1001:ApproverFirstName">
    <vt:lpwstr/>
  </property>
  <property fmtid="{D5CDD505-2E9C-101B-9397-08002B2CF9AE}" pid="89" name="FSC#COOELAK@1.1001:ApproverSurName">
    <vt:lpwstr/>
  </property>
  <property fmtid="{D5CDD505-2E9C-101B-9397-08002B2CF9AE}" pid="90" name="FSC#COOELAK@1.1001:ApproverTitle">
    <vt:lpwstr/>
  </property>
  <property fmtid="{D5CDD505-2E9C-101B-9397-08002B2CF9AE}" pid="91" name="FSC#COOELAK@1.1001:ExternalDate">
    <vt:lpwstr/>
  </property>
  <property fmtid="{D5CDD505-2E9C-101B-9397-08002B2CF9AE}" pid="92" name="FSC#COOELAK@1.1001:SettlementApprovedAt">
    <vt:lpwstr/>
  </property>
  <property fmtid="{D5CDD505-2E9C-101B-9397-08002B2CF9AE}" pid="93" name="FSC#COOELAK@1.1001:BaseNumber">
    <vt:lpwstr>545-00</vt:lpwstr>
  </property>
  <property fmtid="{D5CDD505-2E9C-101B-9397-08002B2CF9AE}" pid="94" name="FSC#COOELAK@1.1001:CurrentUserRolePos">
    <vt:lpwstr>Sachbearbeiter/in</vt:lpwstr>
  </property>
  <property fmtid="{D5CDD505-2E9C-101B-9397-08002B2CF9AE}" pid="95" name="FSC#COOELAK@1.1001:CurrentUserEmail">
    <vt:lpwstr>tsewang.tsering@sem.admin.ch</vt:lpwstr>
  </property>
  <property fmtid="{D5CDD505-2E9C-101B-9397-08002B2CF9AE}" pid="96" name="FSC#ELAKGOV@1.1001:PersonalSubjGender">
    <vt:lpwstr/>
  </property>
  <property fmtid="{D5CDD505-2E9C-101B-9397-08002B2CF9AE}" pid="97" name="FSC#ELAKGOV@1.1001:PersonalSubjFirstName">
    <vt:lpwstr/>
  </property>
  <property fmtid="{D5CDD505-2E9C-101B-9397-08002B2CF9AE}" pid="98" name="FSC#ELAKGOV@1.1001:PersonalSubjSurName">
    <vt:lpwstr/>
  </property>
  <property fmtid="{D5CDD505-2E9C-101B-9397-08002B2CF9AE}" pid="99" name="FSC#ELAKGOV@1.1001:PersonalSubjSalutation">
    <vt:lpwstr/>
  </property>
  <property fmtid="{D5CDD505-2E9C-101B-9397-08002B2CF9AE}" pid="100" name="FSC#ELAKGOV@1.1001:PersonalSubjAddress">
    <vt:lpwstr/>
  </property>
  <property fmtid="{D5CDD505-2E9C-101B-9397-08002B2CF9AE}" pid="101" name="FSC#ATSTATECFG@1.1001:Office">
    <vt:lpwstr/>
  </property>
  <property fmtid="{D5CDD505-2E9C-101B-9397-08002B2CF9AE}" pid="102" name="FSC#ATSTATECFG@1.1001:Agent">
    <vt:lpwstr>Sebastian Steiger</vt:lpwstr>
  </property>
  <property fmtid="{D5CDD505-2E9C-101B-9397-08002B2CF9AE}" pid="103" name="FSC#ATSTATECFG@1.1001:AgentPhone">
    <vt:lpwstr>+41 58 467 64 72</vt:lpwstr>
  </property>
  <property fmtid="{D5CDD505-2E9C-101B-9397-08002B2CF9AE}" pid="104" name="FSC#ATSTATECFG@1.1001:DepartmentFax">
    <vt:lpwstr/>
  </property>
  <property fmtid="{D5CDD505-2E9C-101B-9397-08002B2CF9AE}" pid="105" name="FSC#ATSTATECFG@1.1001:DepartmentEmail">
    <vt:lpwstr/>
  </property>
  <property fmtid="{D5CDD505-2E9C-101B-9397-08002B2CF9AE}" pid="106" name="FSC#ATSTATECFG@1.1001:SubfileDate">
    <vt:lpwstr/>
  </property>
  <property fmtid="{D5CDD505-2E9C-101B-9397-08002B2CF9AE}" pid="107" name="FSC#ATSTATECFG@1.1001:SubfileSubject">
    <vt:lpwstr/>
  </property>
  <property fmtid="{D5CDD505-2E9C-101B-9397-08002B2CF9AE}" pid="108" name="FSC#ATSTATECFG@1.1001:DepartmentZipCode">
    <vt:lpwstr/>
  </property>
  <property fmtid="{D5CDD505-2E9C-101B-9397-08002B2CF9AE}" pid="109" name="FSC#ATSTATECFG@1.1001:DepartmentCountry">
    <vt:lpwstr/>
  </property>
  <property fmtid="{D5CDD505-2E9C-101B-9397-08002B2CF9AE}" pid="110" name="FSC#ATSTATECFG@1.1001:DepartmentCity">
    <vt:lpwstr/>
  </property>
  <property fmtid="{D5CDD505-2E9C-101B-9397-08002B2CF9AE}" pid="111" name="FSC#ATSTATECFG@1.1001:DepartmentStreet">
    <vt:lpwstr/>
  </property>
  <property fmtid="{D5CDD505-2E9C-101B-9397-08002B2CF9AE}" pid="112" name="FSC#ATSTATECFG@1.1001:DepartmentDVR">
    <vt:lpwstr/>
  </property>
  <property fmtid="{D5CDD505-2E9C-101B-9397-08002B2CF9AE}" pid="113" name="FSC#ATSTATECFG@1.1001:DepartmentUID">
    <vt:lpwstr/>
  </property>
  <property fmtid="{D5CDD505-2E9C-101B-9397-08002B2CF9AE}" pid="114" name="FSC#ATSTATECFG@1.1001:SubfileReference">
    <vt:lpwstr>545-00/2018/00001</vt:lpwstr>
  </property>
  <property fmtid="{D5CDD505-2E9C-101B-9397-08002B2CF9AE}" pid="115" name="FSC#ATSTATECFG@1.1001:Clause">
    <vt:lpwstr/>
  </property>
  <property fmtid="{D5CDD505-2E9C-101B-9397-08002B2CF9AE}" pid="116" name="FSC#ATSTATECFG@1.1001:ApprovedSignature">
    <vt:lpwstr/>
  </property>
  <property fmtid="{D5CDD505-2E9C-101B-9397-08002B2CF9AE}" pid="117" name="FSC#ATSTATECFG@1.1001:BankAccount">
    <vt:lpwstr/>
  </property>
  <property fmtid="{D5CDD505-2E9C-101B-9397-08002B2CF9AE}" pid="118" name="FSC#ATSTATECFG@1.1001:BankAccountOwner">
    <vt:lpwstr/>
  </property>
  <property fmtid="{D5CDD505-2E9C-101B-9397-08002B2CF9AE}" pid="119" name="FSC#ATSTATECFG@1.1001:BankInstitute">
    <vt:lpwstr/>
  </property>
  <property fmtid="{D5CDD505-2E9C-101B-9397-08002B2CF9AE}" pid="120" name="FSC#ATSTATECFG@1.1001:BankAccountID">
    <vt:lpwstr/>
  </property>
  <property fmtid="{D5CDD505-2E9C-101B-9397-08002B2CF9AE}" pid="121" name="FSC#ATSTATECFG@1.1001:BankAccountIBAN">
    <vt:lpwstr/>
  </property>
  <property fmtid="{D5CDD505-2E9C-101B-9397-08002B2CF9AE}" pid="122" name="FSC#ATSTATECFG@1.1001:BankAccountBIC">
    <vt:lpwstr/>
  </property>
  <property fmtid="{D5CDD505-2E9C-101B-9397-08002B2CF9AE}" pid="123" name="FSC#ATSTATECFG@1.1001:BankName">
    <vt:lpwstr/>
  </property>
  <property fmtid="{D5CDD505-2E9C-101B-9397-08002B2CF9AE}" pid="124" name="FSC#COOSYSTEM@1.1:Container">
    <vt:lpwstr>COO.2180.101.5.519576</vt:lpwstr>
  </property>
  <property fmtid="{D5CDD505-2E9C-101B-9397-08002B2CF9AE}" pid="125" name="FSC#FSCFOLIO@1.1001:docpropproject">
    <vt:lpwstr/>
  </property>
</Properties>
</file>